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ales and Marketing\xtender\"/>
    </mc:Choice>
  </mc:AlternateContent>
  <workbookProtection workbookAlgorithmName="SHA-512" workbookHashValue="FRVGGZPtZuGWlFYgeY/gewNVm+5kkjHsOd0Gg5sWNf2GxUhjBrCJOJnGbc7YClY+NEIPHFRPpArJAZP7elOK0w==" workbookSaltValue="eNQ27EhmMpQPzVT247c9nQ==" workbookSpinCount="100000" lockStructure="1"/>
  <bookViews>
    <workbookView xWindow="0" yWindow="0" windowWidth="8490" windowHeight="6135"/>
  </bookViews>
  <sheets>
    <sheet name="Sheet1" sheetId="1" r:id="rId1"/>
  </sheets>
  <definedNames>
    <definedName name="battery">Sheet1!$Q$6:$Q$13</definedName>
    <definedName name="battery2">Sheet1!$Q$6:$Q$14</definedName>
    <definedName name="BatteryModel">Sheet1!$Q$6:$Q$13</definedName>
    <definedName name="list12v">Sheet1!$S$6:$S$11</definedName>
    <definedName name="list6v">Sheet1!$K$6:$K$24</definedName>
    <definedName name="list8v">Sheet1!$R$6:$R$14</definedName>
    <definedName name="_xlnm.Print_Area" localSheetId="0">Sheet1!$B$1:$J$23</definedName>
    <definedName name="Voltage">Sheet1!$K$6:$K$16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 s="1"/>
  <c r="P31" i="1"/>
  <c r="X31" i="1"/>
  <c r="W31" i="1" l="1"/>
  <c r="U31" i="1"/>
  <c r="Y31" i="1"/>
  <c r="M31" i="1"/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6" i="1"/>
  <c r="O30" i="1" l="1"/>
  <c r="N30" i="1" s="1"/>
  <c r="P30" i="1"/>
  <c r="U30" i="1" l="1"/>
  <c r="W30" i="1"/>
  <c r="Y30" i="1"/>
  <c r="M30" i="1"/>
  <c r="O29" i="1"/>
  <c r="P29" i="1"/>
  <c r="Y29" i="1" l="1"/>
  <c r="U29" i="1" l="1"/>
  <c r="M29" i="1"/>
  <c r="N29" i="1"/>
  <c r="W29" i="1"/>
  <c r="O28" i="1"/>
  <c r="W28" i="1" s="1"/>
  <c r="P28" i="1"/>
  <c r="Y28" i="1" l="1"/>
  <c r="M28" i="1"/>
  <c r="N28" i="1"/>
  <c r="U28" i="1"/>
  <c r="O27" i="1"/>
  <c r="P27" i="1"/>
  <c r="O26" i="1" l="1"/>
  <c r="P26" i="1"/>
  <c r="O25" i="1" l="1"/>
  <c r="P25" i="1"/>
  <c r="O24" i="1" l="1"/>
  <c r="Y24" i="1" s="1"/>
  <c r="O23" i="1"/>
  <c r="Y23" i="1" s="1"/>
  <c r="O22" i="1"/>
  <c r="U22" i="1" s="1"/>
  <c r="P24" i="1"/>
  <c r="P23" i="1"/>
  <c r="P22" i="1"/>
  <c r="O21" i="1"/>
  <c r="Y21" i="1" s="1"/>
  <c r="O20" i="1"/>
  <c r="Y20" i="1" s="1"/>
  <c r="O19" i="1"/>
  <c r="W19" i="1" s="1"/>
  <c r="O18" i="1"/>
  <c r="Y18" i="1" s="1"/>
  <c r="P21" i="1"/>
  <c r="P20" i="1"/>
  <c r="P19" i="1"/>
  <c r="P18" i="1"/>
  <c r="Y22" i="1"/>
  <c r="Y25" i="1"/>
  <c r="Y26" i="1"/>
  <c r="Y27" i="1"/>
  <c r="Y39" i="1"/>
  <c r="W22" i="1"/>
  <c r="W23" i="1"/>
  <c r="W25" i="1"/>
  <c r="W26" i="1"/>
  <c r="W27" i="1"/>
  <c r="W39" i="1"/>
  <c r="U23" i="1"/>
  <c r="U25" i="1"/>
  <c r="U26" i="1"/>
  <c r="U27" i="1"/>
  <c r="U39" i="1"/>
  <c r="N23" i="1"/>
  <c r="N25" i="1"/>
  <c r="N26" i="1"/>
  <c r="N27" i="1"/>
  <c r="N39" i="1"/>
  <c r="M23" i="1"/>
  <c r="M25" i="1"/>
  <c r="M26" i="1"/>
  <c r="M27" i="1"/>
  <c r="M39" i="1"/>
  <c r="N19" i="1"/>
  <c r="Y19" i="1" l="1"/>
  <c r="U19" i="1"/>
  <c r="N22" i="1"/>
  <c r="M19" i="1"/>
  <c r="M22" i="1"/>
  <c r="M24" i="1"/>
  <c r="N24" i="1"/>
  <c r="U24" i="1"/>
  <c r="W24" i="1"/>
  <c r="N21" i="1"/>
  <c r="M21" i="1"/>
  <c r="U21" i="1"/>
  <c r="W21" i="1"/>
  <c r="N20" i="1"/>
  <c r="N18" i="1"/>
  <c r="M20" i="1"/>
  <c r="M18" i="1"/>
  <c r="U20" i="1"/>
  <c r="U18" i="1"/>
  <c r="W20" i="1"/>
  <c r="W18" i="1"/>
  <c r="O17" i="1"/>
  <c r="U17" i="1" s="1"/>
  <c r="P17" i="1"/>
  <c r="M17" i="1" l="1"/>
  <c r="Y17" i="1"/>
  <c r="N17" i="1"/>
  <c r="O16" i="1"/>
  <c r="U16" i="1" s="1"/>
  <c r="P16" i="1"/>
  <c r="M16" i="1" l="1"/>
  <c r="Y16" i="1"/>
  <c r="N16" i="1"/>
  <c r="W16" i="1"/>
  <c r="W17" i="1"/>
  <c r="O15" i="1" l="1"/>
  <c r="P15" i="1"/>
  <c r="N15" i="1" l="1"/>
  <c r="Y15" i="1"/>
  <c r="M15" i="1"/>
  <c r="W15" i="1"/>
  <c r="U15" i="1"/>
  <c r="O56" i="1" l="1"/>
  <c r="N45" i="1" l="1"/>
  <c r="R44" i="1" s="1"/>
  <c r="C15" i="1" s="1"/>
  <c r="O14" i="1"/>
  <c r="Y14" i="1" s="1"/>
  <c r="P14" i="1"/>
  <c r="M14" i="1" l="1"/>
  <c r="W14" i="1"/>
  <c r="C7" i="1"/>
  <c r="U14" i="1"/>
  <c r="N14" i="1"/>
  <c r="O13" i="1"/>
  <c r="Y13" i="1" s="1"/>
  <c r="O12" i="1"/>
  <c r="Y12" i="1" s="1"/>
  <c r="O11" i="1"/>
  <c r="Y11" i="1" s="1"/>
  <c r="O10" i="1"/>
  <c r="Y10" i="1" s="1"/>
  <c r="O9" i="1"/>
  <c r="Y9" i="1" s="1"/>
  <c r="O8" i="1"/>
  <c r="Y8" i="1" s="1"/>
  <c r="O7" i="1"/>
  <c r="O6" i="1"/>
  <c r="P13" i="1"/>
  <c r="P12" i="1"/>
  <c r="P11" i="1"/>
  <c r="P10" i="1"/>
  <c r="P9" i="1"/>
  <c r="P8" i="1"/>
  <c r="P7" i="1"/>
  <c r="P6" i="1"/>
  <c r="Y7" i="1" l="1"/>
  <c r="W7" i="1"/>
  <c r="W9" i="1"/>
  <c r="W11" i="1"/>
  <c r="W13" i="1"/>
  <c r="W6" i="1"/>
  <c r="Y6" i="1"/>
  <c r="W8" i="1"/>
  <c r="W10" i="1"/>
  <c r="W12" i="1"/>
  <c r="P40" i="1"/>
  <c r="P48" i="1" s="1"/>
  <c r="N9" i="1"/>
  <c r="N13" i="1"/>
  <c r="N12" i="1"/>
  <c r="N11" i="1"/>
  <c r="N10" i="1"/>
  <c r="N8" i="1"/>
  <c r="N7" i="1"/>
  <c r="N6" i="1"/>
  <c r="N46" i="1" l="1"/>
  <c r="N47" i="1" s="1"/>
  <c r="N48" i="1" s="1"/>
  <c r="N49" i="1" s="1"/>
  <c r="G22" i="1"/>
  <c r="P47" i="1"/>
  <c r="G21" i="1" s="1"/>
  <c r="Y40" i="1"/>
  <c r="D13" i="1" s="1"/>
  <c r="W40" i="1"/>
  <c r="D11" i="1" s="1"/>
  <c r="N40" i="1"/>
  <c r="C17" i="1" s="1"/>
  <c r="M9" i="1"/>
  <c r="U10" i="1"/>
  <c r="U12" i="1"/>
  <c r="M6" i="1"/>
  <c r="M13" i="1"/>
  <c r="M11" i="1"/>
  <c r="U6" i="1"/>
  <c r="U8" i="1"/>
  <c r="M7" i="1"/>
  <c r="M12" i="1"/>
  <c r="M10" i="1"/>
  <c r="M8" i="1"/>
  <c r="U13" i="1"/>
  <c r="U11" i="1"/>
  <c r="U9" i="1"/>
  <c r="U7" i="1"/>
  <c r="K46" i="1"/>
  <c r="D17" i="1" l="1"/>
  <c r="D9" i="1"/>
  <c r="C9" i="1"/>
  <c r="U40" i="1"/>
  <c r="M40" i="1"/>
  <c r="C13" i="1" s="1"/>
  <c r="J2" i="1" l="1"/>
  <c r="D15" i="1"/>
  <c r="C11" i="1"/>
  <c r="D7" i="1"/>
</calcChain>
</file>

<file path=xl/sharedStrings.xml><?xml version="1.0" encoding="utf-8"?>
<sst xmlns="http://schemas.openxmlformats.org/spreadsheetml/2006/main" count="81" uniqueCount="74">
  <si>
    <t>Golf Batteries</t>
  </si>
  <si>
    <t>Voltage</t>
  </si>
  <si>
    <t>Mode 1</t>
  </si>
  <si>
    <t>Mode 2</t>
  </si>
  <si>
    <t>Mode 3</t>
  </si>
  <si>
    <t>Mode 4</t>
  </si>
  <si>
    <t>Mode 5</t>
  </si>
  <si>
    <t>Mode 6</t>
  </si>
  <si>
    <t>Mode</t>
  </si>
  <si>
    <t>Current</t>
  </si>
  <si>
    <t>Time</t>
  </si>
  <si>
    <t>Method</t>
  </si>
  <si>
    <t>Pulse</t>
  </si>
  <si>
    <t>Discharge</t>
  </si>
  <si>
    <t>Restoration</t>
  </si>
  <si>
    <t>Pack Voltage</t>
  </si>
  <si>
    <t>Model/Part Number</t>
  </si>
  <si>
    <t>Charge VPC</t>
  </si>
  <si>
    <t>Equalize VPC</t>
  </si>
  <si>
    <t>C10 Rating</t>
  </si>
  <si>
    <t>bulk</t>
  </si>
  <si>
    <t>equal</t>
  </si>
  <si>
    <t>Voltcalc</t>
  </si>
  <si>
    <t>Pic Calc</t>
  </si>
  <si>
    <t>B calc</t>
  </si>
  <si>
    <t>E Calc</t>
  </si>
  <si>
    <t>Current Calc</t>
  </si>
  <si>
    <t>Trojan T875 (8V)</t>
  </si>
  <si>
    <t>Trojan T1275 (12V)</t>
  </si>
  <si>
    <t>US Battery US12VXC (12V)</t>
  </si>
  <si>
    <t>US Battery US8VXC (8V)</t>
  </si>
  <si>
    <t>Energizer EGC2 (6V)</t>
  </si>
  <si>
    <t>Energizer EGC8 (8V)</t>
  </si>
  <si>
    <t>JCI EGC2 (6V)</t>
  </si>
  <si>
    <t>JCI EGC8 (8V)</t>
  </si>
  <si>
    <t>Trojan T105 (6V)</t>
  </si>
  <si>
    <t>Voltage Menu</t>
  </si>
  <si>
    <t>Battery Prover</t>
  </si>
  <si>
    <t>Bat V</t>
  </si>
  <si>
    <t>10% C10 calc</t>
  </si>
  <si>
    <t>Sel Bat V</t>
  </si>
  <si>
    <t>Sel Pack V</t>
  </si>
  <si>
    <t>No Decimal</t>
  </si>
  <si>
    <t>Black Screen?</t>
  </si>
  <si>
    <t>Divide</t>
  </si>
  <si>
    <t>Number of Cells</t>
  </si>
  <si>
    <t>US Battery 1800 XC2 (6V)</t>
  </si>
  <si>
    <t>Rec. B Charge I</t>
  </si>
  <si>
    <t>BI Calc</t>
  </si>
  <si>
    <t>B Charge calc</t>
  </si>
  <si>
    <t>Rec. E Charge I</t>
  </si>
  <si>
    <t>E Charge Calc</t>
  </si>
  <si>
    <t>US Battery 2200 XC2 (6V)</t>
  </si>
  <si>
    <t>EI Calc</t>
  </si>
  <si>
    <t xml:space="preserve">Green </t>
  </si>
  <si>
    <t>BMS System Setup</t>
  </si>
  <si>
    <t>Red</t>
  </si>
  <si>
    <t>Green</t>
  </si>
  <si>
    <t>Trojan SCS225 (12V)</t>
  </si>
  <si>
    <t>Crown GC2 CR-205 (6V)</t>
  </si>
  <si>
    <t>Crown GC2 CR-220 (6V)</t>
  </si>
  <si>
    <t>Crown GC2 CR-235 (6V)</t>
  </si>
  <si>
    <t>Crown GC2 CR-240 (6V)</t>
  </si>
  <si>
    <t>Crown GC8 CR-150 (8V)</t>
  </si>
  <si>
    <t>Crown GC8 CR-165 (8V)</t>
  </si>
  <si>
    <t>Crown GC8 CR-190 (8V)</t>
  </si>
  <si>
    <t>Crown GC12 CR-155 (12V)</t>
  </si>
  <si>
    <t>Interstate PFGC2 (6V)</t>
  </si>
  <si>
    <t>Interstate GC8-HD-UT (8V)</t>
  </si>
  <si>
    <t>PD Plus (8V)</t>
  </si>
  <si>
    <t>US Battery 145XC2 (6V)</t>
  </si>
  <si>
    <t>Trojan DC-8V (8V)</t>
  </si>
  <si>
    <t>Pick Your Battery/Pack Voltage</t>
  </si>
  <si>
    <t>Trojan T605 (6V)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</si>
</sst>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333333"/>
      <name val="Courier New"/>
      <family val="3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FF"/>
      <name val="Rockwell"/>
      <family val="1"/>
    </font>
    <font>
      <sz val="10"/>
      <color rgb="FF333333"/>
      <name val="Verdana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" xfId="0" applyBorder="1"/>
    <xf numFmtId="0" fontId="5" fillId="0" borderId="0" xfId="0" applyFont="1" applyBorder="1" applyAlignment="1">
      <alignment horizontal="left" vertical="center" readingOrder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left" vertical="center" readingOrder="1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right"/>
    </xf>
    <xf numFmtId="0" fontId="9" fillId="0" borderId="1" xfId="0" applyFont="1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Border="1"/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0" xfId="0" applyFont="1" applyBorder="1"/>
    <xf numFmtId="1" fontId="0" fillId="0" borderId="7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4" borderId="6" xfId="0" applyFont="1" applyFill="1" applyBorder="1" applyAlignment="1">
      <alignment horizontal="center"/>
    </xf>
    <xf numFmtId="0" fontId="11" fillId="4" borderId="6" xfId="0" applyFont="1" applyFill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2" fillId="2" borderId="3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0"/>
  <sheetViews>
    <sheetView tabSelected="1" topLeftCell="B1" zoomScaleNormal="100" workbookViewId="0">
      <selection activeCell="E2" sqref="E2:F3"/>
    </sheetView>
  </sheetViews>
  <sheetFormatPr defaultRowHeight="15" x14ac:dyDescent="0.25"/>
  <cols>
    <col min="1" max="1" width="0" hidden="1" customWidth="1"/>
    <col min="4" max="4" width="10" bestFit="1" customWidth="1"/>
    <col min="6" max="6" width="18" customWidth="1"/>
    <col min="9" max="9" width="9.140625" hidden="1" customWidth="1"/>
    <col min="10" max="10" width="14" customWidth="1"/>
    <col min="11" max="11" width="13.7109375" hidden="1" customWidth="1"/>
    <col min="12" max="12" width="9.140625" hidden="1" customWidth="1"/>
    <col min="13" max="13" width="13.140625" hidden="1" customWidth="1"/>
    <col min="14" max="15" width="9.140625" hidden="1" customWidth="1"/>
    <col min="16" max="16" width="9.140625" style="3" hidden="1" customWidth="1"/>
    <col min="17" max="17" width="24" hidden="1" customWidth="1"/>
    <col min="18" max="18" width="11.140625" hidden="1" customWidth="1"/>
    <col min="19" max="19" width="12.42578125" hidden="1" customWidth="1"/>
    <col min="20" max="20" width="12.85546875" hidden="1" customWidth="1"/>
    <col min="21" max="21" width="11.7109375" hidden="1" customWidth="1"/>
    <col min="22" max="22" width="14" style="4" hidden="1" customWidth="1"/>
    <col min="23" max="23" width="12.42578125" hidden="1" customWidth="1"/>
    <col min="24" max="24" width="13.85546875" hidden="1" customWidth="1"/>
    <col min="25" max="25" width="12.5703125" hidden="1" customWidth="1"/>
  </cols>
  <sheetData>
    <row r="1" spans="2:25" s="39" customFormat="1" ht="20.100000000000001" customHeight="1" thickBot="1" x14ac:dyDescent="0.4">
      <c r="B1" s="65" t="s">
        <v>72</v>
      </c>
      <c r="C1" s="66"/>
      <c r="D1" s="67"/>
      <c r="E1" s="74" t="s">
        <v>16</v>
      </c>
      <c r="F1" s="75"/>
      <c r="G1" s="75" t="s">
        <v>15</v>
      </c>
      <c r="H1" s="76"/>
      <c r="I1" s="45"/>
      <c r="J1" s="95" t="s">
        <v>19</v>
      </c>
      <c r="P1" s="40"/>
      <c r="V1" s="41"/>
    </row>
    <row r="2" spans="2:25" s="39" customFormat="1" ht="20.100000000000001" customHeight="1" thickBot="1" x14ac:dyDescent="0.4">
      <c r="B2" s="68"/>
      <c r="C2" s="69"/>
      <c r="D2" s="70"/>
      <c r="E2" s="56" t="s">
        <v>73</v>
      </c>
      <c r="F2" s="57"/>
      <c r="G2" s="60">
        <v>36</v>
      </c>
      <c r="H2" s="61"/>
      <c r="I2" s="46"/>
      <c r="J2" s="96">
        <f>U40*10</f>
        <v>193</v>
      </c>
      <c r="P2" s="40"/>
      <c r="V2" s="41"/>
    </row>
    <row r="3" spans="2:25" s="39" customFormat="1" ht="20.100000000000001" customHeight="1" thickBot="1" x14ac:dyDescent="0.4">
      <c r="B3" s="71"/>
      <c r="C3" s="72"/>
      <c r="D3" s="73"/>
      <c r="E3" s="58"/>
      <c r="F3" s="59"/>
      <c r="G3" s="62"/>
      <c r="H3" s="63"/>
      <c r="I3" s="46"/>
      <c r="J3" s="97"/>
      <c r="K3" s="42" t="s">
        <v>36</v>
      </c>
      <c r="M3" s="43" t="s">
        <v>25</v>
      </c>
      <c r="N3" s="43" t="s">
        <v>24</v>
      </c>
      <c r="O3" s="43" t="s">
        <v>23</v>
      </c>
      <c r="P3" s="43" t="s">
        <v>22</v>
      </c>
      <c r="Q3" s="44" t="s">
        <v>0</v>
      </c>
      <c r="R3" s="43" t="s">
        <v>17</v>
      </c>
      <c r="S3" s="43" t="s">
        <v>18</v>
      </c>
      <c r="T3" s="43" t="s">
        <v>19</v>
      </c>
      <c r="U3" s="43" t="s">
        <v>26</v>
      </c>
      <c r="V3" s="43" t="s">
        <v>47</v>
      </c>
      <c r="W3" s="43" t="s">
        <v>48</v>
      </c>
      <c r="X3" s="43" t="s">
        <v>50</v>
      </c>
      <c r="Y3" s="43" t="s">
        <v>53</v>
      </c>
    </row>
    <row r="4" spans="2:25" s="39" customFormat="1" ht="20.100000000000001" hidden="1" customHeight="1" x14ac:dyDescent="0.35">
      <c r="B4" s="47"/>
      <c r="C4" s="47"/>
      <c r="D4" s="47"/>
      <c r="E4" s="55"/>
      <c r="F4" s="55"/>
      <c r="G4" s="48"/>
      <c r="H4" s="48"/>
      <c r="I4" s="46"/>
      <c r="J4" s="49"/>
      <c r="K4" s="42"/>
      <c r="M4" s="50"/>
      <c r="N4" s="50"/>
      <c r="O4" s="50"/>
      <c r="P4" s="50"/>
      <c r="Q4" s="51"/>
      <c r="R4" s="50"/>
      <c r="S4" s="50"/>
      <c r="T4" s="50"/>
      <c r="U4" s="50"/>
      <c r="V4" s="50"/>
      <c r="W4" s="50"/>
      <c r="X4" s="50"/>
      <c r="Y4" s="50"/>
    </row>
    <row r="5" spans="2:25" s="39" customFormat="1" ht="20.100000000000001" hidden="1" customHeight="1" thickBot="1" x14ac:dyDescent="0.4">
      <c r="B5" s="47"/>
      <c r="C5" s="47"/>
      <c r="D5" s="47"/>
      <c r="E5" s="55"/>
      <c r="F5" s="55"/>
      <c r="G5" s="48"/>
      <c r="H5" s="48"/>
      <c r="I5" s="46"/>
      <c r="J5" s="49"/>
      <c r="K5" s="42"/>
      <c r="M5" s="50"/>
      <c r="N5" s="50"/>
      <c r="O5" s="50"/>
      <c r="P5" s="50"/>
      <c r="Q5" s="51"/>
      <c r="R5" s="50"/>
      <c r="S5" s="50"/>
      <c r="T5" s="50"/>
      <c r="U5" s="50"/>
      <c r="V5" s="50"/>
      <c r="W5" s="50"/>
      <c r="X5" s="50"/>
      <c r="Y5" s="50"/>
    </row>
    <row r="6" spans="2:25" ht="21" x14ac:dyDescent="0.25">
      <c r="B6" s="52" t="s">
        <v>8</v>
      </c>
      <c r="C6" s="53" t="s">
        <v>1</v>
      </c>
      <c r="D6" s="53" t="s">
        <v>9</v>
      </c>
      <c r="E6" s="53" t="s">
        <v>10</v>
      </c>
      <c r="F6" s="53" t="s">
        <v>11</v>
      </c>
      <c r="G6" s="54" t="s">
        <v>12</v>
      </c>
      <c r="H6" s="2"/>
      <c r="I6" s="2"/>
      <c r="J6" s="2"/>
      <c r="K6" s="4">
        <v>6</v>
      </c>
      <c r="M6" s="14">
        <f t="shared" ref="M6:M14" si="0">O6*S6</f>
        <v>0</v>
      </c>
      <c r="N6" s="14">
        <f t="shared" ref="N6:N14" si="1">O6*R6</f>
        <v>0</v>
      </c>
      <c r="O6" s="14" t="str">
        <f>IF(E2="Trojan T875 (8V)",1,"0")</f>
        <v>0</v>
      </c>
      <c r="P6" s="14" t="str">
        <f>IF(E2="Trojan T875 (8V)",8,"0")</f>
        <v>0</v>
      </c>
      <c r="Q6" s="26" t="s">
        <v>27</v>
      </c>
      <c r="R6" s="27">
        <v>2.4660000000000002</v>
      </c>
      <c r="S6" s="27">
        <v>2.5830000000000002</v>
      </c>
      <c r="T6" s="27">
        <v>155</v>
      </c>
      <c r="U6" s="27">
        <f t="shared" ref="U6:U39" si="2">(T6*O6)*0.1</f>
        <v>0</v>
      </c>
      <c r="V6" s="28">
        <v>18</v>
      </c>
      <c r="W6" s="27">
        <f>V6*O6</f>
        <v>0</v>
      </c>
      <c r="X6" s="38">
        <f>T6*0.05</f>
        <v>7.75</v>
      </c>
      <c r="Y6" s="14">
        <f>X6*O6</f>
        <v>0</v>
      </c>
    </row>
    <row r="7" spans="2:25" x14ac:dyDescent="0.25">
      <c r="B7" s="64" t="s">
        <v>2</v>
      </c>
      <c r="C7" s="80">
        <f>1.75*R44</f>
        <v>31.5</v>
      </c>
      <c r="D7" s="80">
        <f>U40</f>
        <v>19.3</v>
      </c>
      <c r="E7" s="79">
        <v>0.41666666666666669</v>
      </c>
      <c r="F7" s="77" t="s">
        <v>13</v>
      </c>
      <c r="G7" s="78">
        <v>1</v>
      </c>
      <c r="K7" s="4">
        <v>8</v>
      </c>
      <c r="M7" s="12">
        <f t="shared" si="0"/>
        <v>0</v>
      </c>
      <c r="N7" s="12">
        <f t="shared" si="1"/>
        <v>0</v>
      </c>
      <c r="O7" s="12" t="str">
        <f>IF(E2="Trojan T1275 (12V)",1,"0")</f>
        <v>0</v>
      </c>
      <c r="P7" s="12" t="str">
        <f>IF(E2="Trojan T1275 (12V)",12,"0")</f>
        <v>0</v>
      </c>
      <c r="Q7" s="24" t="s">
        <v>28</v>
      </c>
      <c r="R7" s="21">
        <v>2.4660000000000002</v>
      </c>
      <c r="S7" s="21">
        <v>2.5830000000000002</v>
      </c>
      <c r="T7" s="21">
        <v>134</v>
      </c>
      <c r="U7" s="21">
        <f t="shared" si="2"/>
        <v>0</v>
      </c>
      <c r="V7" s="25">
        <v>18</v>
      </c>
      <c r="W7" s="21">
        <f t="shared" ref="W7:W39" si="3">V7*O7</f>
        <v>0</v>
      </c>
      <c r="X7" s="38">
        <f t="shared" ref="X7:X31" si="4">T7*0.05</f>
        <v>6.7</v>
      </c>
      <c r="Y7" s="12">
        <f>X7*O7</f>
        <v>0</v>
      </c>
    </row>
    <row r="8" spans="2:25" x14ac:dyDescent="0.25">
      <c r="B8" s="64"/>
      <c r="C8" s="80"/>
      <c r="D8" s="80"/>
      <c r="E8" s="77"/>
      <c r="F8" s="77"/>
      <c r="G8" s="78"/>
      <c r="K8" s="4">
        <v>12</v>
      </c>
      <c r="M8" s="12">
        <f t="shared" si="0"/>
        <v>0</v>
      </c>
      <c r="N8" s="12">
        <f t="shared" si="1"/>
        <v>0</v>
      </c>
      <c r="O8" s="12" t="str">
        <f>IF(E2="US Battery US12VXC (12V)",1,"0")</f>
        <v>0</v>
      </c>
      <c r="P8" s="12" t="str">
        <f>IF(E2="US Battery US12VXC (12V)",12,"0")</f>
        <v>0</v>
      </c>
      <c r="Q8" s="24" t="s">
        <v>29</v>
      </c>
      <c r="R8" s="21">
        <v>2.5</v>
      </c>
      <c r="S8" s="21">
        <v>2.5499999999999998</v>
      </c>
      <c r="T8" s="21">
        <v>138</v>
      </c>
      <c r="U8" s="21">
        <f t="shared" si="2"/>
        <v>0</v>
      </c>
      <c r="V8" s="25">
        <v>15.5</v>
      </c>
      <c r="W8" s="21">
        <f t="shared" si="3"/>
        <v>0</v>
      </c>
      <c r="X8" s="38">
        <f t="shared" si="4"/>
        <v>6.9</v>
      </c>
      <c r="Y8" s="12">
        <f t="shared" ref="Y8:Y39" si="5">X8*O8</f>
        <v>0</v>
      </c>
    </row>
    <row r="9" spans="2:25" x14ac:dyDescent="0.25">
      <c r="B9" s="64" t="s">
        <v>3</v>
      </c>
      <c r="C9" s="80">
        <f>N40*R44</f>
        <v>44.46</v>
      </c>
      <c r="D9" s="80">
        <f>W40</f>
        <v>18</v>
      </c>
      <c r="E9" s="79">
        <v>0.41666666666666669</v>
      </c>
      <c r="F9" s="77" t="s">
        <v>14</v>
      </c>
      <c r="G9" s="78">
        <v>7</v>
      </c>
      <c r="K9" s="4">
        <v>16</v>
      </c>
      <c r="M9" s="12">
        <f t="shared" si="0"/>
        <v>0</v>
      </c>
      <c r="N9" s="12">
        <f t="shared" si="1"/>
        <v>0</v>
      </c>
      <c r="O9" s="12" t="str">
        <f>IF(E2="US Battery US8VXC (8V)",1,"0")</f>
        <v>0</v>
      </c>
      <c r="P9" s="12" t="str">
        <f>IF(E2="US Battery US8VXC (8V)",8,"0")</f>
        <v>0</v>
      </c>
      <c r="Q9" s="24" t="s">
        <v>30</v>
      </c>
      <c r="R9" s="21">
        <v>2.5</v>
      </c>
      <c r="S9" s="21">
        <v>2.5499999999999998</v>
      </c>
      <c r="T9" s="21">
        <v>153</v>
      </c>
      <c r="U9" s="21">
        <f t="shared" si="2"/>
        <v>0</v>
      </c>
      <c r="V9" s="25">
        <v>17</v>
      </c>
      <c r="W9" s="21">
        <f t="shared" si="3"/>
        <v>0</v>
      </c>
      <c r="X9" s="38">
        <f t="shared" si="4"/>
        <v>7.65</v>
      </c>
      <c r="Y9" s="12">
        <f t="shared" si="5"/>
        <v>0</v>
      </c>
    </row>
    <row r="10" spans="2:25" x14ac:dyDescent="0.25">
      <c r="B10" s="64"/>
      <c r="C10" s="80"/>
      <c r="D10" s="80"/>
      <c r="E10" s="77"/>
      <c r="F10" s="77"/>
      <c r="G10" s="78"/>
      <c r="K10" s="4">
        <v>18</v>
      </c>
      <c r="M10" s="12">
        <f t="shared" si="0"/>
        <v>0</v>
      </c>
      <c r="N10" s="12">
        <f t="shared" si="1"/>
        <v>0</v>
      </c>
      <c r="O10" s="12" t="str">
        <f>IF(E2="Energizer EGC2 (6V)",1,"0")</f>
        <v>0</v>
      </c>
      <c r="P10" s="12" t="str">
        <f>IF(E2="Energizer EGC2 (6V)",6,"0")</f>
        <v>0</v>
      </c>
      <c r="Q10" s="10" t="s">
        <v>31</v>
      </c>
      <c r="R10" s="12">
        <v>2.4</v>
      </c>
      <c r="S10" s="12">
        <v>2.6</v>
      </c>
      <c r="T10" s="12">
        <v>202</v>
      </c>
      <c r="U10" s="12">
        <f t="shared" si="2"/>
        <v>0</v>
      </c>
      <c r="V10" s="20">
        <v>18</v>
      </c>
      <c r="W10" s="12">
        <f t="shared" si="3"/>
        <v>0</v>
      </c>
      <c r="X10" s="38">
        <f t="shared" si="4"/>
        <v>10.100000000000001</v>
      </c>
      <c r="Y10" s="12">
        <f t="shared" si="5"/>
        <v>0</v>
      </c>
    </row>
    <row r="11" spans="2:25" x14ac:dyDescent="0.25">
      <c r="B11" s="64" t="s">
        <v>4</v>
      </c>
      <c r="C11" s="80">
        <f>M40*R44</f>
        <v>46.800000000000004</v>
      </c>
      <c r="D11" s="80">
        <f>W40*0.35</f>
        <v>6.3</v>
      </c>
      <c r="E11" s="79">
        <v>0.25</v>
      </c>
      <c r="F11" s="77" t="s">
        <v>14</v>
      </c>
      <c r="G11" s="78">
        <v>4</v>
      </c>
      <c r="K11" s="4">
        <v>24</v>
      </c>
      <c r="M11" s="12">
        <f t="shared" si="0"/>
        <v>0</v>
      </c>
      <c r="N11" s="12">
        <f t="shared" si="1"/>
        <v>0</v>
      </c>
      <c r="O11" s="12" t="str">
        <f>IF(E2="Energizer EGC8 (8V)",1,"0")</f>
        <v>0</v>
      </c>
      <c r="P11" s="12" t="str">
        <f>IF(E2="Energizer EGC8 (8V)",8,"0")</f>
        <v>0</v>
      </c>
      <c r="Q11" s="10" t="s">
        <v>32</v>
      </c>
      <c r="R11" s="12">
        <v>2.4</v>
      </c>
      <c r="S11" s="12">
        <v>2.6</v>
      </c>
      <c r="T11" s="12">
        <v>153</v>
      </c>
      <c r="U11" s="12">
        <f t="shared" si="2"/>
        <v>0</v>
      </c>
      <c r="V11" s="20">
        <v>15</v>
      </c>
      <c r="W11" s="12">
        <f t="shared" si="3"/>
        <v>0</v>
      </c>
      <c r="X11" s="38">
        <f t="shared" si="4"/>
        <v>7.65</v>
      </c>
      <c r="Y11" s="12">
        <f t="shared" si="5"/>
        <v>0</v>
      </c>
    </row>
    <row r="12" spans="2:25" x14ac:dyDescent="0.25">
      <c r="B12" s="64"/>
      <c r="C12" s="80"/>
      <c r="D12" s="80"/>
      <c r="E12" s="77"/>
      <c r="F12" s="77"/>
      <c r="G12" s="78"/>
      <c r="K12" s="4">
        <v>30</v>
      </c>
      <c r="M12" s="12">
        <f t="shared" si="0"/>
        <v>0</v>
      </c>
      <c r="N12" s="12">
        <f t="shared" si="1"/>
        <v>0</v>
      </c>
      <c r="O12" s="12" t="str">
        <f>IF(E2="JCI EGC2 (6V)",1,"0")</f>
        <v>0</v>
      </c>
      <c r="P12" s="12" t="str">
        <f>IF(E2="JCI EGC2 (6V)",6,"0")</f>
        <v>0</v>
      </c>
      <c r="Q12" s="24" t="s">
        <v>33</v>
      </c>
      <c r="R12" s="21">
        <v>2.4750000000000001</v>
      </c>
      <c r="S12" s="21">
        <v>2.5</v>
      </c>
      <c r="T12" s="21">
        <v>208</v>
      </c>
      <c r="U12" s="21">
        <f t="shared" si="2"/>
        <v>0</v>
      </c>
      <c r="V12" s="25">
        <v>18</v>
      </c>
      <c r="W12" s="21">
        <f t="shared" si="3"/>
        <v>0</v>
      </c>
      <c r="X12" s="38">
        <f t="shared" si="4"/>
        <v>10.4</v>
      </c>
      <c r="Y12" s="12">
        <f t="shared" si="5"/>
        <v>0</v>
      </c>
    </row>
    <row r="13" spans="2:25" x14ac:dyDescent="0.25">
      <c r="B13" s="64" t="s">
        <v>5</v>
      </c>
      <c r="C13" s="80">
        <f>M40*R44</f>
        <v>46.800000000000004</v>
      </c>
      <c r="D13" s="80">
        <f>Y40</f>
        <v>9.65</v>
      </c>
      <c r="E13" s="79">
        <v>0.33333333333333331</v>
      </c>
      <c r="F13" s="77" t="s">
        <v>14</v>
      </c>
      <c r="G13" s="78">
        <v>2</v>
      </c>
      <c r="K13" s="4">
        <v>32</v>
      </c>
      <c r="M13" s="12">
        <f t="shared" si="0"/>
        <v>0</v>
      </c>
      <c r="N13" s="12">
        <f t="shared" si="1"/>
        <v>0</v>
      </c>
      <c r="O13" s="12" t="str">
        <f>IF(E2="JCI EGC8 (8V)",1,"0")</f>
        <v>0</v>
      </c>
      <c r="P13" s="12" t="str">
        <f>IF(E2="JCI EGC8 (8V)",8,"0")</f>
        <v>0</v>
      </c>
      <c r="Q13" s="24" t="s">
        <v>34</v>
      </c>
      <c r="R13" s="21">
        <v>2.4750000000000001</v>
      </c>
      <c r="S13" s="21">
        <v>2.5</v>
      </c>
      <c r="T13" s="21">
        <v>153</v>
      </c>
      <c r="U13" s="21">
        <f t="shared" si="2"/>
        <v>0</v>
      </c>
      <c r="V13" s="25">
        <v>15</v>
      </c>
      <c r="W13" s="21">
        <f t="shared" si="3"/>
        <v>0</v>
      </c>
      <c r="X13" s="38">
        <f t="shared" si="4"/>
        <v>7.65</v>
      </c>
      <c r="Y13" s="12">
        <f t="shared" si="5"/>
        <v>0</v>
      </c>
    </row>
    <row r="14" spans="2:25" x14ac:dyDescent="0.25">
      <c r="B14" s="64"/>
      <c r="C14" s="80"/>
      <c r="D14" s="80"/>
      <c r="E14" s="77"/>
      <c r="F14" s="77"/>
      <c r="G14" s="78"/>
      <c r="K14" s="4">
        <v>36</v>
      </c>
      <c r="M14" s="12">
        <f t="shared" si="0"/>
        <v>0</v>
      </c>
      <c r="N14" s="12">
        <f t="shared" si="1"/>
        <v>0</v>
      </c>
      <c r="O14" s="12" t="str">
        <f>IF(E2="Trojan T105 (6V)",1,"0")</f>
        <v>0</v>
      </c>
      <c r="P14" s="12" t="str">
        <f>IF(E2="Trojan T105 (6V)",6,"0")</f>
        <v>0</v>
      </c>
      <c r="Q14" s="24" t="s">
        <v>35</v>
      </c>
      <c r="R14" s="21">
        <v>2.4660000000000002</v>
      </c>
      <c r="S14" s="21">
        <v>2.5830000000000002</v>
      </c>
      <c r="T14" s="21">
        <v>207</v>
      </c>
      <c r="U14" s="21">
        <f t="shared" si="2"/>
        <v>0</v>
      </c>
      <c r="V14" s="25">
        <v>18</v>
      </c>
      <c r="W14" s="21">
        <f t="shared" si="3"/>
        <v>0</v>
      </c>
      <c r="X14" s="38">
        <f t="shared" si="4"/>
        <v>10.350000000000001</v>
      </c>
      <c r="Y14" s="12">
        <f t="shared" si="5"/>
        <v>0</v>
      </c>
    </row>
    <row r="15" spans="2:25" x14ac:dyDescent="0.25">
      <c r="B15" s="64" t="s">
        <v>6</v>
      </c>
      <c r="C15" s="84">
        <f>1.75*R44</f>
        <v>31.5</v>
      </c>
      <c r="D15" s="80">
        <f>U40</f>
        <v>19.3</v>
      </c>
      <c r="E15" s="79">
        <v>0.41666666666666669</v>
      </c>
      <c r="F15" s="77" t="s">
        <v>13</v>
      </c>
      <c r="G15" s="78">
        <v>1</v>
      </c>
      <c r="K15" s="4">
        <v>40</v>
      </c>
      <c r="M15" s="12">
        <f t="shared" ref="M15" si="6">O15*S15</f>
        <v>0</v>
      </c>
      <c r="N15" s="12">
        <f t="shared" ref="N15" si="7">O15*R15</f>
        <v>0</v>
      </c>
      <c r="O15" s="12" t="str">
        <f>IF(E2="US Battery 1800 XC2 (6V)",1,"0")</f>
        <v>0</v>
      </c>
      <c r="P15" s="12" t="str">
        <f>IF(E2="US Battery 1800 XC2 (6V)",6,"0")</f>
        <v>0</v>
      </c>
      <c r="Q15" s="10" t="s">
        <v>46</v>
      </c>
      <c r="R15" s="12">
        <v>2.5</v>
      </c>
      <c r="S15" s="12">
        <v>2.5499999999999998</v>
      </c>
      <c r="T15" s="12">
        <v>179</v>
      </c>
      <c r="U15" s="12">
        <f t="shared" si="2"/>
        <v>0</v>
      </c>
      <c r="V15" s="20">
        <v>18</v>
      </c>
      <c r="W15" s="12">
        <f t="shared" si="3"/>
        <v>0</v>
      </c>
      <c r="X15" s="38">
        <f t="shared" si="4"/>
        <v>8.9500000000000011</v>
      </c>
      <c r="Y15" s="12">
        <f t="shared" si="5"/>
        <v>0</v>
      </c>
    </row>
    <row r="16" spans="2:25" x14ac:dyDescent="0.25">
      <c r="B16" s="64"/>
      <c r="C16" s="85"/>
      <c r="D16" s="80"/>
      <c r="E16" s="77"/>
      <c r="F16" s="77"/>
      <c r="G16" s="78"/>
      <c r="K16" s="4">
        <v>42</v>
      </c>
      <c r="M16" s="12">
        <f>O16*S16</f>
        <v>0</v>
      </c>
      <c r="N16" s="12">
        <f>O16*R16</f>
        <v>0</v>
      </c>
      <c r="O16" s="12" t="str">
        <f>IF(E2="US Battery 2200 XC2 (6V)",1,"0")</f>
        <v>0</v>
      </c>
      <c r="P16" s="12" t="str">
        <f>IF(E2="US Battery 2200 XC2 (6V)",6,"0")</f>
        <v>0</v>
      </c>
      <c r="Q16" s="10" t="s">
        <v>52</v>
      </c>
      <c r="R16" s="12">
        <v>2.5</v>
      </c>
      <c r="S16" s="12">
        <v>2.5499999999999998</v>
      </c>
      <c r="T16" s="12">
        <v>206</v>
      </c>
      <c r="U16" s="12">
        <f t="shared" si="2"/>
        <v>0</v>
      </c>
      <c r="V16" s="20">
        <v>18</v>
      </c>
      <c r="W16" s="12">
        <f t="shared" si="3"/>
        <v>0</v>
      </c>
      <c r="X16" s="38">
        <f t="shared" si="4"/>
        <v>10.3</v>
      </c>
      <c r="Y16" s="12">
        <f t="shared" si="5"/>
        <v>0</v>
      </c>
    </row>
    <row r="17" spans="2:25" x14ac:dyDescent="0.25">
      <c r="B17" s="64" t="s">
        <v>7</v>
      </c>
      <c r="C17" s="80">
        <f>N40*R44</f>
        <v>44.46</v>
      </c>
      <c r="D17" s="80">
        <f>W40</f>
        <v>18</v>
      </c>
      <c r="E17" s="79">
        <v>0.41666666666666669</v>
      </c>
      <c r="F17" s="77" t="s">
        <v>14</v>
      </c>
      <c r="G17" s="78">
        <v>7</v>
      </c>
      <c r="K17" s="4">
        <v>48</v>
      </c>
      <c r="M17" s="12">
        <f t="shared" ref="M17:M39" si="8">O17*S17</f>
        <v>0</v>
      </c>
      <c r="N17" s="12">
        <f t="shared" ref="N17:N39" si="9">O17*R17</f>
        <v>0</v>
      </c>
      <c r="O17" s="12" t="str">
        <f>IF(E2="Trojan SCS225 (12V)",1,"0")</f>
        <v>0</v>
      </c>
      <c r="P17" s="12" t="str">
        <f>IF(E2="Trojan SCS225 (12V)",12,"0")</f>
        <v>0</v>
      </c>
      <c r="Q17" s="10" t="s">
        <v>58</v>
      </c>
      <c r="R17" s="12">
        <v>2.4660000000000002</v>
      </c>
      <c r="S17" s="12">
        <v>2.5830000000000002</v>
      </c>
      <c r="T17" s="12">
        <v>118</v>
      </c>
      <c r="U17" s="21">
        <f t="shared" si="2"/>
        <v>0</v>
      </c>
      <c r="V17" s="20">
        <v>16.899999999999999</v>
      </c>
      <c r="W17" s="12">
        <f t="shared" si="3"/>
        <v>0</v>
      </c>
      <c r="X17" s="38">
        <f t="shared" si="4"/>
        <v>5.9</v>
      </c>
      <c r="Y17" s="12">
        <f t="shared" si="5"/>
        <v>0</v>
      </c>
    </row>
    <row r="18" spans="2:25" ht="15.75" thickBot="1" x14ac:dyDescent="0.3">
      <c r="B18" s="81"/>
      <c r="C18" s="82"/>
      <c r="D18" s="82"/>
      <c r="E18" s="86"/>
      <c r="F18" s="86"/>
      <c r="G18" s="87"/>
      <c r="K18" s="4">
        <v>54</v>
      </c>
      <c r="M18" s="12">
        <f t="shared" si="8"/>
        <v>0</v>
      </c>
      <c r="N18" s="12">
        <f t="shared" si="9"/>
        <v>0</v>
      </c>
      <c r="O18" s="12" t="str">
        <f>IF(E2="Crown GC2 CR-205 (6V)",1,"0")</f>
        <v>0</v>
      </c>
      <c r="P18" s="12" t="str">
        <f>IF(E2="Crown GC2 CR-205 (6V)",6,"0")</f>
        <v>0</v>
      </c>
      <c r="Q18" s="10" t="s">
        <v>59</v>
      </c>
      <c r="R18" s="12">
        <v>2.42</v>
      </c>
      <c r="S18" s="12">
        <v>2.65</v>
      </c>
      <c r="T18" s="12">
        <v>174</v>
      </c>
      <c r="U18" s="21">
        <f t="shared" si="2"/>
        <v>0</v>
      </c>
      <c r="V18" s="20">
        <v>18</v>
      </c>
      <c r="W18" s="21">
        <f t="shared" si="3"/>
        <v>0</v>
      </c>
      <c r="X18" s="38">
        <f t="shared" si="4"/>
        <v>8.7000000000000011</v>
      </c>
      <c r="Y18" s="12">
        <f t="shared" si="5"/>
        <v>0</v>
      </c>
    </row>
    <row r="19" spans="2:25" ht="15.75" thickBot="1" x14ac:dyDescent="0.3">
      <c r="K19" s="4">
        <v>56</v>
      </c>
      <c r="M19" s="12">
        <f t="shared" si="8"/>
        <v>0</v>
      </c>
      <c r="N19" s="12">
        <f t="shared" si="9"/>
        <v>0</v>
      </c>
      <c r="O19" s="12" t="str">
        <f>IF(E2="Crown GC2 CR-220 (6V)",1,"0")</f>
        <v>0</v>
      </c>
      <c r="P19" s="12" t="str">
        <f>IF(E2="Crown GC2 CR-220 (6V)",6,"0")</f>
        <v>0</v>
      </c>
      <c r="Q19" s="10" t="s">
        <v>60</v>
      </c>
      <c r="R19" s="12">
        <v>2.42</v>
      </c>
      <c r="S19" s="12">
        <v>2.65</v>
      </c>
      <c r="T19" s="12">
        <v>184</v>
      </c>
      <c r="U19" s="21">
        <f t="shared" si="2"/>
        <v>0</v>
      </c>
      <c r="V19" s="20">
        <v>18</v>
      </c>
      <c r="W19" s="21">
        <f t="shared" si="3"/>
        <v>0</v>
      </c>
      <c r="X19" s="38">
        <f t="shared" si="4"/>
        <v>9.2000000000000011</v>
      </c>
      <c r="Y19" s="12">
        <f t="shared" si="5"/>
        <v>0</v>
      </c>
    </row>
    <row r="20" spans="2:25" ht="19.5" thickBot="1" x14ac:dyDescent="0.35">
      <c r="E20" s="88" t="s">
        <v>55</v>
      </c>
      <c r="F20" s="89"/>
      <c r="G20" s="90"/>
      <c r="K20" s="4">
        <v>60</v>
      </c>
      <c r="M20" s="12">
        <f t="shared" si="8"/>
        <v>0</v>
      </c>
      <c r="N20" s="12">
        <f t="shared" si="9"/>
        <v>0</v>
      </c>
      <c r="O20" s="12" t="str">
        <f>IF(E2="Crown GC2 CR-235 (6V)",1,"0")</f>
        <v>0</v>
      </c>
      <c r="P20" s="12" t="str">
        <f>IF(E2="Crown GC2 CR-235 (6V)",6,"0")</f>
        <v>0</v>
      </c>
      <c r="Q20" s="10" t="s">
        <v>61</v>
      </c>
      <c r="R20" s="12">
        <v>2.42</v>
      </c>
      <c r="S20" s="12">
        <v>2.65</v>
      </c>
      <c r="T20" s="12">
        <v>211</v>
      </c>
      <c r="U20" s="21">
        <f t="shared" si="2"/>
        <v>0</v>
      </c>
      <c r="V20" s="20">
        <v>18</v>
      </c>
      <c r="W20" s="21">
        <f t="shared" si="3"/>
        <v>0</v>
      </c>
      <c r="X20" s="38">
        <f t="shared" si="4"/>
        <v>10.55</v>
      </c>
      <c r="Y20" s="12">
        <f t="shared" si="5"/>
        <v>0</v>
      </c>
    </row>
    <row r="21" spans="2:25" x14ac:dyDescent="0.25">
      <c r="E21" s="91" t="s">
        <v>54</v>
      </c>
      <c r="F21" s="92"/>
      <c r="G21" s="30">
        <f>P47</f>
        <v>7.8000000000000007</v>
      </c>
      <c r="K21" s="4">
        <v>64</v>
      </c>
      <c r="M21" s="12">
        <f t="shared" si="8"/>
        <v>0</v>
      </c>
      <c r="N21" s="12">
        <f t="shared" si="9"/>
        <v>0</v>
      </c>
      <c r="O21" s="12" t="str">
        <f>IF(E2="Crown GC2 CR-240 (6V)",1,"0")</f>
        <v>0</v>
      </c>
      <c r="P21" s="12" t="str">
        <f>IF(E2="Crown GC2 CR-240 (6V)",6,"0")</f>
        <v>0</v>
      </c>
      <c r="Q21" s="10" t="s">
        <v>62</v>
      </c>
      <c r="R21" s="12">
        <v>2.42</v>
      </c>
      <c r="S21" s="12">
        <v>2.65</v>
      </c>
      <c r="T21" s="12">
        <v>204</v>
      </c>
      <c r="U21" s="12">
        <f t="shared" si="2"/>
        <v>0</v>
      </c>
      <c r="V21" s="20">
        <v>18</v>
      </c>
      <c r="W21" s="12">
        <f t="shared" si="3"/>
        <v>0</v>
      </c>
      <c r="X21" s="38">
        <f t="shared" si="4"/>
        <v>10.200000000000001</v>
      </c>
      <c r="Y21" s="12">
        <f t="shared" si="5"/>
        <v>0</v>
      </c>
    </row>
    <row r="22" spans="2:25" ht="15.75" thickBot="1" x14ac:dyDescent="0.3">
      <c r="E22" s="93" t="s">
        <v>56</v>
      </c>
      <c r="F22" s="94"/>
      <c r="G22" s="31">
        <f>P48</f>
        <v>3.25</v>
      </c>
      <c r="K22" s="4">
        <v>66</v>
      </c>
      <c r="M22" s="12">
        <f t="shared" si="8"/>
        <v>0</v>
      </c>
      <c r="N22" s="12">
        <f t="shared" si="9"/>
        <v>0</v>
      </c>
      <c r="O22" s="12" t="str">
        <f>IF(E2="Crown GC8 CR-150 (8V)",1,"0")</f>
        <v>0</v>
      </c>
      <c r="P22" s="12" t="str">
        <f>IF(E2="Crown GC8 CR-150 (8V)",8,"0")</f>
        <v>0</v>
      </c>
      <c r="Q22" s="10" t="s">
        <v>63</v>
      </c>
      <c r="R22" s="12">
        <v>2.42</v>
      </c>
      <c r="S22" s="12">
        <v>2.65</v>
      </c>
      <c r="T22" s="12">
        <v>127</v>
      </c>
      <c r="U22" s="21">
        <f t="shared" si="2"/>
        <v>0</v>
      </c>
      <c r="V22" s="20">
        <v>18</v>
      </c>
      <c r="W22" s="21">
        <f t="shared" si="3"/>
        <v>0</v>
      </c>
      <c r="X22" s="38">
        <f t="shared" si="4"/>
        <v>6.3500000000000005</v>
      </c>
      <c r="Y22" s="12">
        <f>X22*O22</f>
        <v>0</v>
      </c>
    </row>
    <row r="23" spans="2:25" x14ac:dyDescent="0.25">
      <c r="K23" s="4">
        <v>72</v>
      </c>
      <c r="M23" s="12">
        <f t="shared" si="8"/>
        <v>0</v>
      </c>
      <c r="N23" s="12">
        <f t="shared" si="9"/>
        <v>0</v>
      </c>
      <c r="O23" s="12" t="str">
        <f>IF(E2="Crown GC8 CR-165 (8V)",1,"0")</f>
        <v>0</v>
      </c>
      <c r="P23" s="12" t="str">
        <f>IF(E2="Crown GC8 CR-165 (8V)",8,"0")</f>
        <v>0</v>
      </c>
      <c r="Q23" s="10" t="s">
        <v>64</v>
      </c>
      <c r="R23" s="12">
        <v>2.42</v>
      </c>
      <c r="S23" s="12">
        <v>2.65</v>
      </c>
      <c r="T23" s="12">
        <v>140</v>
      </c>
      <c r="U23" s="21">
        <f t="shared" si="2"/>
        <v>0</v>
      </c>
      <c r="V23" s="20">
        <v>18</v>
      </c>
      <c r="W23" s="21">
        <f t="shared" si="3"/>
        <v>0</v>
      </c>
      <c r="X23" s="38">
        <f t="shared" si="4"/>
        <v>7</v>
      </c>
      <c r="Y23" s="12">
        <f t="shared" si="5"/>
        <v>0</v>
      </c>
    </row>
    <row r="24" spans="2:25" x14ac:dyDescent="0.25">
      <c r="K24" s="4">
        <v>78</v>
      </c>
      <c r="M24" s="12">
        <f t="shared" si="8"/>
        <v>0</v>
      </c>
      <c r="N24" s="12">
        <f t="shared" si="9"/>
        <v>0</v>
      </c>
      <c r="O24" s="12" t="str">
        <f>IF(E2="Crown GC8 CR-190 (8V)",1,"0")</f>
        <v>0</v>
      </c>
      <c r="P24" s="12" t="str">
        <f>IF(E2="Crown GC8 CR-190 (8V)",8,"0")</f>
        <v>0</v>
      </c>
      <c r="Q24" s="10" t="s">
        <v>65</v>
      </c>
      <c r="R24" s="12">
        <v>2.42</v>
      </c>
      <c r="S24" s="12">
        <v>2.65</v>
      </c>
      <c r="T24" s="12">
        <v>161</v>
      </c>
      <c r="U24" s="21">
        <f t="shared" si="2"/>
        <v>0</v>
      </c>
      <c r="V24" s="20">
        <v>18</v>
      </c>
      <c r="W24" s="21">
        <f t="shared" si="3"/>
        <v>0</v>
      </c>
      <c r="X24" s="38">
        <f t="shared" si="4"/>
        <v>8.0500000000000007</v>
      </c>
      <c r="Y24" s="12">
        <f t="shared" si="5"/>
        <v>0</v>
      </c>
    </row>
    <row r="25" spans="2:25" x14ac:dyDescent="0.25">
      <c r="M25" s="12">
        <f t="shared" si="8"/>
        <v>0</v>
      </c>
      <c r="N25" s="12">
        <f t="shared" si="9"/>
        <v>0</v>
      </c>
      <c r="O25" s="12" t="str">
        <f>IF(E2="Crown GC12 CR-155 (12V)",1,"0")</f>
        <v>0</v>
      </c>
      <c r="P25" s="12" t="str">
        <f>IF(E2="Crown GC12 CR-155 (12V)",12,"0")</f>
        <v>0</v>
      </c>
      <c r="Q25" s="10" t="s">
        <v>66</v>
      </c>
      <c r="R25" s="12">
        <v>2.42</v>
      </c>
      <c r="S25" s="12">
        <v>2.65</v>
      </c>
      <c r="T25" s="12">
        <v>132</v>
      </c>
      <c r="U25" s="12">
        <f t="shared" si="2"/>
        <v>0</v>
      </c>
      <c r="V25" s="20">
        <v>18</v>
      </c>
      <c r="W25" s="12">
        <f t="shared" si="3"/>
        <v>0</v>
      </c>
      <c r="X25" s="38">
        <f t="shared" si="4"/>
        <v>6.6000000000000005</v>
      </c>
      <c r="Y25" s="12">
        <f t="shared" si="5"/>
        <v>0</v>
      </c>
    </row>
    <row r="26" spans="2:25" x14ac:dyDescent="0.25">
      <c r="F26" s="5"/>
      <c r="G26" s="5"/>
      <c r="H26" s="6"/>
      <c r="I26" s="6"/>
      <c r="J26" s="6"/>
      <c r="K26" s="1"/>
      <c r="L26" s="5"/>
      <c r="M26" s="12">
        <f t="shared" si="8"/>
        <v>0</v>
      </c>
      <c r="N26" s="12">
        <f t="shared" si="9"/>
        <v>0</v>
      </c>
      <c r="O26" s="12" t="str">
        <f>IF(E2="Interstate PFGC2 (6V)",1,"0")</f>
        <v>0</v>
      </c>
      <c r="P26" s="12" t="str">
        <f>IF(E2="Interstate PFGC2 (6V)",6,"0")</f>
        <v>0</v>
      </c>
      <c r="Q26" s="10" t="s">
        <v>67</v>
      </c>
      <c r="R26" s="12">
        <v>2.41</v>
      </c>
      <c r="S26" s="12">
        <v>2.6</v>
      </c>
      <c r="T26" s="12">
        <v>208</v>
      </c>
      <c r="U26" s="12">
        <f t="shared" si="2"/>
        <v>0</v>
      </c>
      <c r="V26" s="20">
        <v>18</v>
      </c>
      <c r="W26" s="12">
        <f t="shared" si="3"/>
        <v>0</v>
      </c>
      <c r="X26" s="38">
        <f t="shared" si="4"/>
        <v>10.4</v>
      </c>
      <c r="Y26" s="12">
        <f t="shared" si="5"/>
        <v>0</v>
      </c>
    </row>
    <row r="27" spans="2:25" x14ac:dyDescent="0.25">
      <c r="F27" s="5"/>
      <c r="G27" s="8"/>
      <c r="H27" s="8"/>
      <c r="I27" s="8"/>
      <c r="J27" s="8"/>
      <c r="L27" s="8"/>
      <c r="M27" s="12">
        <f t="shared" si="8"/>
        <v>0</v>
      </c>
      <c r="N27" s="12">
        <f t="shared" si="9"/>
        <v>0</v>
      </c>
      <c r="O27" s="12" t="str">
        <f>IF(E2="Interstate GC8-HD-UT (8V)",1,"0")</f>
        <v>0</v>
      </c>
      <c r="P27" s="12" t="str">
        <f>IF(E2="Interstate GC8-HD-UT (8V)",8,"0")</f>
        <v>0</v>
      </c>
      <c r="Q27" s="10" t="s">
        <v>68</v>
      </c>
      <c r="R27" s="12">
        <v>2.41</v>
      </c>
      <c r="S27" s="12">
        <v>2.6</v>
      </c>
      <c r="T27" s="12">
        <v>153</v>
      </c>
      <c r="U27" s="21">
        <f t="shared" si="2"/>
        <v>0</v>
      </c>
      <c r="V27" s="20">
        <v>18</v>
      </c>
      <c r="W27" s="21">
        <f t="shared" si="3"/>
        <v>0</v>
      </c>
      <c r="X27" s="38">
        <f t="shared" si="4"/>
        <v>7.65</v>
      </c>
      <c r="Y27" s="12">
        <f t="shared" si="5"/>
        <v>0</v>
      </c>
    </row>
    <row r="28" spans="2:25" x14ac:dyDescent="0.25">
      <c r="F28" s="8"/>
      <c r="G28" s="6"/>
      <c r="H28" s="6"/>
      <c r="I28" s="6"/>
      <c r="J28" s="6"/>
      <c r="L28" s="6"/>
      <c r="M28" s="12">
        <f t="shared" si="8"/>
        <v>0</v>
      </c>
      <c r="N28" s="12">
        <f t="shared" si="9"/>
        <v>0</v>
      </c>
      <c r="O28" s="12" t="str">
        <f>IF(E2="PD Plus (8V)",1,"0")</f>
        <v>0</v>
      </c>
      <c r="P28" s="12" t="str">
        <f>IF(E2="PD Plus (8V)",8,"0")</f>
        <v>0</v>
      </c>
      <c r="Q28" s="10" t="s">
        <v>69</v>
      </c>
      <c r="R28" s="21">
        <v>2.4750000000000001</v>
      </c>
      <c r="S28" s="21">
        <v>2.5</v>
      </c>
      <c r="T28" s="21">
        <v>153</v>
      </c>
      <c r="U28" s="21">
        <f t="shared" ref="U28" si="10">(T28*O28)*0.1</f>
        <v>0</v>
      </c>
      <c r="V28" s="25">
        <v>15</v>
      </c>
      <c r="W28" s="21">
        <f t="shared" ref="W28" si="11">V28*O28</f>
        <v>0</v>
      </c>
      <c r="X28" s="38">
        <f t="shared" si="4"/>
        <v>7.65</v>
      </c>
      <c r="Y28" s="12">
        <f t="shared" ref="Y28" si="12">X28*O28</f>
        <v>0</v>
      </c>
    </row>
    <row r="29" spans="2:25" x14ac:dyDescent="0.25">
      <c r="F29" s="8"/>
      <c r="G29" s="6"/>
      <c r="H29" s="6"/>
      <c r="I29" s="6"/>
      <c r="J29" s="6"/>
      <c r="L29" s="6"/>
      <c r="M29" s="12">
        <f t="shared" ref="M29" si="13">O29*S29</f>
        <v>0</v>
      </c>
      <c r="N29" s="12">
        <f t="shared" ref="N29" si="14">O29*R29</f>
        <v>0</v>
      </c>
      <c r="O29" s="12" t="str">
        <f>IF(E2="US Battery 145XC2 (6V)",1,"0")</f>
        <v>0</v>
      </c>
      <c r="P29" s="12" t="str">
        <f>IF(E2="US Battery 145XC2 (6V)",6,"0")</f>
        <v>0</v>
      </c>
      <c r="Q29" s="10" t="s">
        <v>70</v>
      </c>
      <c r="R29" s="21">
        <v>2.5</v>
      </c>
      <c r="S29" s="21">
        <v>2.5499999999999998</v>
      </c>
      <c r="T29" s="21">
        <v>236</v>
      </c>
      <c r="U29" s="21">
        <f t="shared" ref="U29:U31" si="15">(T29*O29)*0.1</f>
        <v>0</v>
      </c>
      <c r="V29" s="25">
        <v>18</v>
      </c>
      <c r="W29" s="21">
        <f t="shared" ref="W29:W31" si="16">V29*O29</f>
        <v>0</v>
      </c>
      <c r="X29" s="38">
        <f t="shared" si="4"/>
        <v>11.8</v>
      </c>
      <c r="Y29" s="12">
        <f t="shared" ref="Y29:Y31" si="17">X29*O29</f>
        <v>0</v>
      </c>
    </row>
    <row r="30" spans="2:25" x14ac:dyDescent="0.25">
      <c r="F30" s="8"/>
      <c r="G30" s="6"/>
      <c r="H30" s="6"/>
      <c r="I30" s="6"/>
      <c r="J30" s="6"/>
      <c r="L30" s="6"/>
      <c r="M30" s="12">
        <f t="shared" ref="M30" si="18">O30*S30</f>
        <v>0</v>
      </c>
      <c r="N30" s="12">
        <f t="shared" ref="N30" si="19">O30*R30</f>
        <v>0</v>
      </c>
      <c r="O30" s="12" t="str">
        <f>IF(E2="Trojan DC-8V (8V)",1,"0")</f>
        <v>0</v>
      </c>
      <c r="P30" s="12" t="str">
        <f>IF(E2="Trojan DC-8V (8V)",8,"0")</f>
        <v>0</v>
      </c>
      <c r="Q30" s="10" t="s">
        <v>71</v>
      </c>
      <c r="R30" s="21">
        <v>2.4700000000000002</v>
      </c>
      <c r="S30" s="21">
        <v>2.6</v>
      </c>
      <c r="T30" s="21">
        <v>147</v>
      </c>
      <c r="U30" s="21">
        <f t="shared" si="15"/>
        <v>0</v>
      </c>
      <c r="V30" s="25">
        <v>17.5</v>
      </c>
      <c r="W30" s="35">
        <f t="shared" si="16"/>
        <v>0</v>
      </c>
      <c r="X30" s="38">
        <f t="shared" si="4"/>
        <v>7.3500000000000005</v>
      </c>
      <c r="Y30" s="22">
        <f t="shared" si="17"/>
        <v>0</v>
      </c>
    </row>
    <row r="31" spans="2:25" x14ac:dyDescent="0.25">
      <c r="F31" s="8"/>
      <c r="G31" s="6"/>
      <c r="H31" s="6"/>
      <c r="I31" s="6"/>
      <c r="J31" s="6"/>
      <c r="L31" s="6"/>
      <c r="M31" s="12">
        <f t="shared" ref="M31" si="20">O31*S31</f>
        <v>2.6</v>
      </c>
      <c r="N31" s="12">
        <f t="shared" ref="N31" si="21">O31*R31</f>
        <v>2.4700000000000002</v>
      </c>
      <c r="O31" s="12">
        <f>IF(E2="Trojan T605 (6V)",1,"0")</f>
        <v>1</v>
      </c>
      <c r="P31" s="12">
        <f>IF(E2="Trojan T605 (6V)",6,"0")</f>
        <v>6</v>
      </c>
      <c r="Q31" s="10" t="s">
        <v>73</v>
      </c>
      <c r="R31" s="21">
        <v>2.4700000000000002</v>
      </c>
      <c r="S31" s="21">
        <v>2.6</v>
      </c>
      <c r="T31" s="21">
        <v>193</v>
      </c>
      <c r="U31" s="21">
        <f t="shared" si="15"/>
        <v>19.3</v>
      </c>
      <c r="V31" s="25">
        <v>18</v>
      </c>
      <c r="W31" s="35">
        <f t="shared" si="16"/>
        <v>18</v>
      </c>
      <c r="X31" s="25">
        <f t="shared" si="4"/>
        <v>9.65</v>
      </c>
      <c r="Y31" s="22">
        <f t="shared" si="17"/>
        <v>9.65</v>
      </c>
    </row>
    <row r="32" spans="2:25" x14ac:dyDescent="0.25">
      <c r="F32" s="8"/>
      <c r="G32" s="6"/>
      <c r="H32" s="6"/>
      <c r="I32" s="6"/>
      <c r="J32" s="6"/>
      <c r="L32" s="6"/>
      <c r="M32" s="22"/>
      <c r="N32" s="22"/>
      <c r="O32" s="12"/>
      <c r="P32" s="22"/>
      <c r="Q32" s="10"/>
      <c r="R32" s="21"/>
      <c r="S32" s="21"/>
      <c r="T32" s="21"/>
      <c r="U32" s="35"/>
      <c r="V32" s="25"/>
      <c r="W32" s="35"/>
      <c r="X32" s="25"/>
      <c r="Y32" s="22"/>
    </row>
    <row r="33" spans="6:25" x14ac:dyDescent="0.25">
      <c r="F33" s="8"/>
      <c r="G33" s="6"/>
      <c r="H33" s="6"/>
      <c r="I33" s="6"/>
      <c r="J33" s="6"/>
      <c r="L33" s="6"/>
      <c r="M33" s="22"/>
      <c r="N33" s="22"/>
      <c r="O33" s="12"/>
      <c r="P33" s="22"/>
      <c r="Q33" s="10"/>
      <c r="R33" s="21"/>
      <c r="S33" s="21"/>
      <c r="T33" s="21"/>
      <c r="U33" s="35"/>
      <c r="V33" s="25"/>
      <c r="W33" s="35"/>
      <c r="X33" s="25"/>
      <c r="Y33" s="22"/>
    </row>
    <row r="34" spans="6:25" x14ac:dyDescent="0.25">
      <c r="F34" s="8"/>
      <c r="G34" s="6"/>
      <c r="H34" s="6"/>
      <c r="I34" s="6"/>
      <c r="J34" s="6"/>
      <c r="L34" s="6"/>
      <c r="M34" s="22"/>
      <c r="N34" s="22"/>
      <c r="O34" s="12"/>
      <c r="P34" s="22"/>
      <c r="Q34" s="10"/>
      <c r="R34" s="21"/>
      <c r="S34" s="21"/>
      <c r="T34" s="21"/>
      <c r="U34" s="35"/>
      <c r="V34" s="25"/>
      <c r="W34" s="35"/>
      <c r="X34" s="25"/>
      <c r="Y34" s="22"/>
    </row>
    <row r="35" spans="6:25" x14ac:dyDescent="0.25">
      <c r="F35" s="8"/>
      <c r="G35" s="6"/>
      <c r="H35" s="6"/>
      <c r="I35" s="6"/>
      <c r="J35" s="6"/>
      <c r="L35" s="6"/>
      <c r="M35" s="22"/>
      <c r="N35" s="22"/>
      <c r="O35" s="12"/>
      <c r="P35" s="22"/>
      <c r="Q35" s="10"/>
      <c r="R35" s="21"/>
      <c r="S35" s="21"/>
      <c r="T35" s="21"/>
      <c r="U35" s="35"/>
      <c r="V35" s="25"/>
      <c r="W35" s="35"/>
      <c r="X35" s="25"/>
      <c r="Y35" s="22"/>
    </row>
    <row r="36" spans="6:25" x14ac:dyDescent="0.25">
      <c r="F36" s="8"/>
      <c r="G36" s="6"/>
      <c r="H36" s="6"/>
      <c r="I36" s="6"/>
      <c r="J36" s="6"/>
      <c r="L36" s="6"/>
      <c r="M36" s="22"/>
      <c r="N36" s="22"/>
      <c r="O36" s="12"/>
      <c r="P36" s="22"/>
      <c r="Q36" s="10"/>
      <c r="R36" s="21"/>
      <c r="S36" s="21"/>
      <c r="T36" s="21"/>
      <c r="U36" s="35"/>
      <c r="V36" s="25"/>
      <c r="W36" s="35"/>
      <c r="X36" s="25"/>
      <c r="Y36" s="22"/>
    </row>
    <row r="37" spans="6:25" x14ac:dyDescent="0.25">
      <c r="F37" s="8"/>
      <c r="G37" s="6"/>
      <c r="H37" s="6"/>
      <c r="I37" s="6"/>
      <c r="J37" s="6"/>
      <c r="L37" s="6"/>
      <c r="M37" s="22"/>
      <c r="N37" s="22"/>
      <c r="O37" s="12"/>
      <c r="P37" s="22"/>
      <c r="Q37" s="10"/>
      <c r="R37" s="21"/>
      <c r="S37" s="21"/>
      <c r="T37" s="21"/>
      <c r="U37" s="35"/>
      <c r="V37" s="25"/>
      <c r="W37" s="35"/>
      <c r="X37" s="25"/>
      <c r="Y37" s="22"/>
    </row>
    <row r="38" spans="6:25" x14ac:dyDescent="0.25">
      <c r="F38" s="8"/>
      <c r="G38" s="6"/>
      <c r="H38" s="6"/>
      <c r="I38" s="6"/>
      <c r="J38" s="6"/>
      <c r="L38" s="6"/>
      <c r="M38" s="22"/>
      <c r="N38" s="22"/>
      <c r="O38" s="12"/>
      <c r="P38" s="22"/>
      <c r="Q38" s="10"/>
      <c r="R38" s="21"/>
      <c r="S38" s="21"/>
      <c r="T38" s="21"/>
      <c r="U38" s="35"/>
      <c r="V38" s="25"/>
      <c r="W38" s="35"/>
      <c r="X38" s="25"/>
      <c r="Y38" s="22"/>
    </row>
    <row r="39" spans="6:25" ht="15.75" thickBot="1" x14ac:dyDescent="0.3">
      <c r="F39" s="8"/>
      <c r="G39" s="6"/>
      <c r="H39" s="6"/>
      <c r="I39" s="6"/>
      <c r="J39" s="6"/>
      <c r="L39" s="6"/>
      <c r="M39" s="22">
        <f t="shared" si="8"/>
        <v>0</v>
      </c>
      <c r="N39" s="22">
        <f t="shared" si="9"/>
        <v>0</v>
      </c>
      <c r="O39" s="10"/>
      <c r="P39" s="34"/>
      <c r="Q39" s="10"/>
      <c r="R39" s="12"/>
      <c r="S39" s="12"/>
      <c r="T39" s="12"/>
      <c r="U39" s="35">
        <f t="shared" si="2"/>
        <v>0</v>
      </c>
      <c r="V39" s="20"/>
      <c r="W39" s="35">
        <f t="shared" si="3"/>
        <v>0</v>
      </c>
      <c r="X39" s="12"/>
      <c r="Y39" s="22">
        <f t="shared" si="5"/>
        <v>0</v>
      </c>
    </row>
    <row r="40" spans="6:25" ht="15.75" thickBot="1" x14ac:dyDescent="0.3">
      <c r="F40" s="8"/>
      <c r="G40" s="6"/>
      <c r="H40" s="6"/>
      <c r="I40" s="6"/>
      <c r="J40" s="6"/>
      <c r="L40" s="6"/>
      <c r="M40" s="36">
        <f>SUM(M6:M39)</f>
        <v>2.6</v>
      </c>
      <c r="N40" s="36">
        <f>SUM(N6:N39)</f>
        <v>2.4700000000000002</v>
      </c>
      <c r="P40" s="36">
        <f>SUM(P6:P39)</f>
        <v>6</v>
      </c>
      <c r="U40" s="36">
        <f>SUM(U6:U39)</f>
        <v>19.3</v>
      </c>
      <c r="W40" s="36">
        <f>SUM(W6:W39)</f>
        <v>18</v>
      </c>
      <c r="X40" s="7"/>
      <c r="Y40" s="36">
        <f>SUM(Y6:Y39)</f>
        <v>9.65</v>
      </c>
    </row>
    <row r="41" spans="6:25" ht="15.75" thickBot="1" x14ac:dyDescent="0.3">
      <c r="F41" s="8"/>
      <c r="G41" s="6"/>
      <c r="H41" s="6"/>
      <c r="I41" s="6"/>
      <c r="J41" s="6"/>
      <c r="L41" s="6"/>
      <c r="M41" s="23" t="s">
        <v>21</v>
      </c>
      <c r="N41" s="23" t="s">
        <v>20</v>
      </c>
      <c r="P41" s="23" t="s">
        <v>38</v>
      </c>
      <c r="U41" s="23" t="s">
        <v>39</v>
      </c>
      <c r="W41" s="23" t="s">
        <v>49</v>
      </c>
      <c r="X41" s="37"/>
      <c r="Y41" s="29" t="s">
        <v>51</v>
      </c>
    </row>
    <row r="42" spans="6:25" x14ac:dyDescent="0.25">
      <c r="F42" s="8"/>
      <c r="G42" s="6"/>
      <c r="H42" s="6"/>
      <c r="I42" s="6"/>
      <c r="J42" s="6"/>
      <c r="L42" s="6"/>
    </row>
    <row r="43" spans="6:25" x14ac:dyDescent="0.25">
      <c r="F43" s="8"/>
      <c r="G43" s="6"/>
      <c r="H43" s="6"/>
      <c r="I43" s="6"/>
      <c r="J43" s="6"/>
      <c r="L43" s="6"/>
    </row>
    <row r="44" spans="6:25" ht="15.75" x14ac:dyDescent="0.25">
      <c r="F44" s="9"/>
      <c r="G44" s="7"/>
      <c r="H44" s="7"/>
      <c r="I44" s="7"/>
      <c r="J44" s="7"/>
      <c r="L44" s="7"/>
      <c r="M44" s="83" t="s">
        <v>37</v>
      </c>
      <c r="N44" s="83"/>
      <c r="Q44" s="10" t="s">
        <v>45</v>
      </c>
      <c r="R44" s="10">
        <f>N45/2</f>
        <v>18</v>
      </c>
    </row>
    <row r="45" spans="6:25" x14ac:dyDescent="0.25">
      <c r="F45" s="7"/>
      <c r="G45" s="7"/>
      <c r="H45" s="7"/>
      <c r="I45" s="7"/>
      <c r="J45" s="7"/>
      <c r="L45" s="7"/>
      <c r="M45" s="10" t="s">
        <v>41</v>
      </c>
      <c r="N45" s="18">
        <f>G2</f>
        <v>36</v>
      </c>
    </row>
    <row r="46" spans="6:25" x14ac:dyDescent="0.25">
      <c r="K46" s="11" t="str">
        <f>IF(LEN(K27),MOD(K27,1)=0,"")</f>
        <v/>
      </c>
      <c r="M46" s="10" t="s">
        <v>40</v>
      </c>
      <c r="N46" s="18">
        <f>P40</f>
        <v>6</v>
      </c>
    </row>
    <row r="47" spans="6:25" x14ac:dyDescent="0.25">
      <c r="M47" s="10" t="s">
        <v>44</v>
      </c>
      <c r="N47" s="18">
        <f>N45/N46</f>
        <v>6</v>
      </c>
      <c r="P47" s="13">
        <f>(P40/2)*2.6</f>
        <v>7.8000000000000007</v>
      </c>
      <c r="Q47" s="10" t="s">
        <v>57</v>
      </c>
    </row>
    <row r="48" spans="6:25" x14ac:dyDescent="0.25">
      <c r="M48" s="16" t="s">
        <v>42</v>
      </c>
      <c r="N48" s="19" t="b">
        <f>INT(N47)=N47</f>
        <v>1</v>
      </c>
      <c r="P48" s="13">
        <f>((P40/2)*1.75)-2</f>
        <v>3.25</v>
      </c>
      <c r="Q48" s="10" t="s">
        <v>56</v>
      </c>
    </row>
    <row r="49" spans="13:22" x14ac:dyDescent="0.25">
      <c r="M49" s="17" t="s">
        <v>43</v>
      </c>
      <c r="N49" s="18" t="b">
        <f>IF(N48=FALSE,TRUE,FALSE)</f>
        <v>0</v>
      </c>
    </row>
    <row r="50" spans="13:22" x14ac:dyDescent="0.25">
      <c r="R50" s="1"/>
    </row>
    <row r="51" spans="13:22" x14ac:dyDescent="0.25">
      <c r="M51" s="7"/>
      <c r="N51" s="7"/>
      <c r="U51" s="32"/>
      <c r="V51" s="33"/>
    </row>
    <row r="52" spans="13:22" x14ac:dyDescent="0.25">
      <c r="M52" s="5"/>
      <c r="N52" s="5"/>
      <c r="U52" s="32"/>
      <c r="V52" s="33"/>
    </row>
    <row r="53" spans="13:22" x14ac:dyDescent="0.25">
      <c r="M53" s="8"/>
      <c r="N53" s="8"/>
      <c r="P53"/>
      <c r="U53" s="32"/>
      <c r="V53" s="33"/>
    </row>
    <row r="54" spans="13:22" x14ac:dyDescent="0.25">
      <c r="M54" s="6"/>
      <c r="N54" s="6"/>
      <c r="P54"/>
      <c r="U54" s="32"/>
      <c r="V54" s="33"/>
    </row>
    <row r="55" spans="13:22" ht="15.75" thickBot="1" x14ac:dyDescent="0.3">
      <c r="M55" s="6"/>
      <c r="N55" s="6"/>
      <c r="P55"/>
    </row>
    <row r="56" spans="13:22" ht="15.75" thickBot="1" x14ac:dyDescent="0.3">
      <c r="M56" s="6"/>
      <c r="N56" s="6"/>
      <c r="O56" s="15" t="str">
        <f>IF(LEN(O47),MOD(O47,1)=0,"")</f>
        <v/>
      </c>
      <c r="P56"/>
    </row>
    <row r="57" spans="13:22" x14ac:dyDescent="0.25">
      <c r="M57" s="6"/>
      <c r="N57" s="6"/>
    </row>
    <row r="58" spans="13:22" x14ac:dyDescent="0.25">
      <c r="M58" s="6"/>
      <c r="N58" s="6"/>
    </row>
    <row r="59" spans="13:22" x14ac:dyDescent="0.25">
      <c r="M59" s="6"/>
      <c r="N59" s="6"/>
    </row>
    <row r="60" spans="13:22" x14ac:dyDescent="0.25">
      <c r="M60" s="7"/>
      <c r="N60" s="7"/>
    </row>
  </sheetData>
  <sheetProtection algorithmName="SHA-512" hashValue="u3yD3vNqIIQlJGvg0l5zoaS8+G5UkCCGadML4Q2Lm7VZ62/Z8xmj4qfeWJWv3Bkm9GxRNF6IUH1oEcBZgCs/3w==" saltValue="Uatf07kHF0+bNU4Zl1g9+Q==" spinCount="100000" sheet="1" objects="1" scenarios="1" selectLockedCells="1"/>
  <mergeCells count="46">
    <mergeCell ref="E13:E14"/>
    <mergeCell ref="F13:F14"/>
    <mergeCell ref="M44:N44"/>
    <mergeCell ref="C15:C16"/>
    <mergeCell ref="D15:D16"/>
    <mergeCell ref="E15:E16"/>
    <mergeCell ref="F15:F16"/>
    <mergeCell ref="G15:G16"/>
    <mergeCell ref="G13:G14"/>
    <mergeCell ref="E17:E18"/>
    <mergeCell ref="F17:F18"/>
    <mergeCell ref="G17:G18"/>
    <mergeCell ref="E20:G20"/>
    <mergeCell ref="E21:F21"/>
    <mergeCell ref="E22:F22"/>
    <mergeCell ref="B13:B14"/>
    <mergeCell ref="B15:B16"/>
    <mergeCell ref="B17:B18"/>
    <mergeCell ref="C7:C8"/>
    <mergeCell ref="D7:D8"/>
    <mergeCell ref="C17:C18"/>
    <mergeCell ref="D17:D18"/>
    <mergeCell ref="C13:C14"/>
    <mergeCell ref="D13:D14"/>
    <mergeCell ref="B11:B12"/>
    <mergeCell ref="C9:C10"/>
    <mergeCell ref="C11:C12"/>
    <mergeCell ref="D11:D12"/>
    <mergeCell ref="E11:E12"/>
    <mergeCell ref="F11:F12"/>
    <mergeCell ref="G11:G12"/>
    <mergeCell ref="E7:E8"/>
    <mergeCell ref="D9:D10"/>
    <mergeCell ref="E9:E10"/>
    <mergeCell ref="J2:J3"/>
    <mergeCell ref="E2:F3"/>
    <mergeCell ref="G2:H3"/>
    <mergeCell ref="B7:B8"/>
    <mergeCell ref="B9:B10"/>
    <mergeCell ref="B1:D3"/>
    <mergeCell ref="E1:F1"/>
    <mergeCell ref="G1:H1"/>
    <mergeCell ref="F7:F8"/>
    <mergeCell ref="G7:G8"/>
    <mergeCell ref="F9:F10"/>
    <mergeCell ref="G9:G10"/>
  </mergeCells>
  <conditionalFormatting sqref="B7:G18">
    <cfRule type="expression" dxfId="0" priority="1">
      <formula>$N$49</formula>
    </cfRule>
  </conditionalFormatting>
  <dataValidations count="3">
    <dataValidation type="list" allowBlank="1" showInputMessage="1" showErrorMessage="1" sqref="H6:J6">
      <formula1>Voltage</formula1>
    </dataValidation>
    <dataValidation type="list" allowBlank="1" showInputMessage="1" showErrorMessage="1" sqref="G2:I5">
      <formula1>list6v</formula1>
    </dataValidation>
    <dataValidation type="list" allowBlank="1" showInputMessage="1" showErrorMessage="1" sqref="E2:F5">
      <formula1>$Q$6:$Q$39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battery</vt:lpstr>
      <vt:lpstr>battery2</vt:lpstr>
      <vt:lpstr>BatteryModel</vt:lpstr>
      <vt:lpstr>list12v</vt:lpstr>
      <vt:lpstr>list6v</vt:lpstr>
      <vt:lpstr>list8v</vt:lpstr>
      <vt:lpstr>Sheet1!Print_Area</vt:lpstr>
      <vt:lpstr>Voltage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Potter</dc:creator>
  <cp:lastModifiedBy>Matt Potter</cp:lastModifiedBy>
  <cp:lastPrinted>2017-10-20T20:17:52Z</cp:lastPrinted>
  <dcterms:created xsi:type="dcterms:W3CDTF">2015-07-13T12:13:47Z</dcterms:created>
  <dcterms:modified xsi:type="dcterms:W3CDTF">2017-11-14T14:21:36Z</dcterms:modified>
</cp:coreProperties>
</file>