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horn\Downloads\"/>
    </mc:Choice>
  </mc:AlternateContent>
  <xr:revisionPtr revIDLastSave="0" documentId="8_{7348851B-F1DD-42E8-9F72-CD61297A93AB}" xr6:coauthVersionLast="46" xr6:coauthVersionMax="46" xr10:uidLastSave="{00000000-0000-0000-0000-000000000000}"/>
  <bookViews>
    <workbookView xWindow="-120" yWindow="-120" windowWidth="29040" windowHeight="15840"/>
  </bookViews>
  <sheets>
    <sheet name="Automated" sheetId="1" r:id="rId1"/>
    <sheet name="Sheet1" sheetId="2" r:id="rId2"/>
  </sheets>
  <definedNames>
    <definedName name="_xlnm.Print_Area" localSheetId="0">Automated!$A$1:$I$21</definedName>
  </definedNames>
  <calcPr calcId="191029"/>
  <customWorkbookViews>
    <customWorkbookView name="urbaind - Affichage personnalisé" guid="{A378B3FA-B861-407D-9937-928FA849863A}" mergeInterval="0" personalView="1" maximized="1" xWindow="1" yWindow="1" windowWidth="1366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/>
  <c r="M29" i="1"/>
  <c r="N29" i="1"/>
  <c r="N32" i="1" s="1"/>
  <c r="P27" i="1" s="1"/>
  <c r="N16" i="1" s="1"/>
  <c r="P23" i="1"/>
  <c r="F15" i="1"/>
  <c r="F13" i="1"/>
  <c r="H19" i="1"/>
  <c r="H17" i="1"/>
  <c r="H15" i="1"/>
  <c r="H13" i="1"/>
  <c r="B24" i="1"/>
  <c r="A33" i="1"/>
  <c r="A32" i="1"/>
  <c r="A31" i="1"/>
  <c r="A30" i="1"/>
  <c r="A29" i="1"/>
  <c r="L6" i="1"/>
  <c r="L5" i="1"/>
  <c r="L4" i="1"/>
  <c r="V9" i="1" s="1"/>
  <c r="B19" i="1" s="1"/>
  <c r="L3" i="1"/>
  <c r="J30" i="1"/>
  <c r="F29" i="1"/>
  <c r="E29" i="1"/>
  <c r="E35" i="1" s="1"/>
  <c r="I19" i="1"/>
  <c r="G19" i="1"/>
  <c r="I17" i="1"/>
  <c r="U3" i="1" s="1"/>
  <c r="I15" i="1"/>
  <c r="G15" i="1" s="1"/>
  <c r="I13" i="1"/>
  <c r="S4" i="1" s="1"/>
  <c r="A25" i="1"/>
  <c r="I11" i="1"/>
  <c r="R5" i="1" s="1"/>
  <c r="G11" i="1"/>
  <c r="I9" i="1"/>
  <c r="G9" i="1"/>
  <c r="F23" i="1"/>
  <c r="O10" i="1"/>
  <c r="M9" i="1"/>
  <c r="J10" i="1"/>
  <c r="K10" i="1"/>
  <c r="J9" i="1"/>
  <c r="K9" i="1" s="1"/>
  <c r="J8" i="1"/>
  <c r="K8" i="1" s="1"/>
  <c r="C3" i="1"/>
  <c r="A23" i="1" s="1"/>
  <c r="T6" i="1"/>
  <c r="V6" i="1"/>
  <c r="A36" i="1"/>
  <c r="Q6" i="1"/>
  <c r="Q4" i="1"/>
  <c r="S5" i="1"/>
  <c r="T4" i="1"/>
  <c r="V5" i="1"/>
  <c r="G17" i="1"/>
  <c r="Q3" i="1"/>
  <c r="Q5" i="1"/>
  <c r="T5" i="1"/>
  <c r="V4" i="1"/>
  <c r="Q9" i="1"/>
  <c r="B9" i="1" s="1"/>
  <c r="U5" i="1" l="1"/>
  <c r="G13" i="1"/>
  <c r="U4" i="1"/>
  <c r="U9" i="1" s="1"/>
  <c r="B17" i="1" s="1"/>
  <c r="U6" i="1"/>
  <c r="S6" i="1"/>
  <c r="S9" i="1" s="1"/>
  <c r="B13" i="1" s="1"/>
  <c r="R4" i="1"/>
  <c r="H7" i="1"/>
  <c r="R3" i="1"/>
  <c r="T3" i="1"/>
  <c r="T9" i="1" s="1"/>
  <c r="B15" i="1" s="1"/>
  <c r="R6" i="1"/>
  <c r="A22" i="1"/>
  <c r="R9" i="1" l="1"/>
  <c r="B11" i="1" s="1"/>
  <c r="B26" i="1" s="1"/>
  <c r="K6" i="1" s="1"/>
  <c r="M25" i="1"/>
  <c r="N25" i="1" s="1"/>
  <c r="M24" i="1"/>
  <c r="N24" i="1" s="1"/>
  <c r="F32" i="1"/>
  <c r="M23" i="1"/>
  <c r="N23" i="1" s="1"/>
  <c r="D13" i="1" s="1"/>
  <c r="J19" i="1"/>
  <c r="K19" i="1" s="1"/>
  <c r="D15" i="1" s="1"/>
  <c r="I30" i="1"/>
  <c r="J32" i="1" s="1"/>
  <c r="L16" i="1"/>
  <c r="N15" i="1" l="1"/>
  <c r="I22" i="1"/>
  <c r="J20" i="1" s="1"/>
  <c r="D19" i="1" s="1"/>
  <c r="M27" i="1"/>
  <c r="D11" i="1"/>
  <c r="H32" i="1"/>
  <c r="H34" i="1"/>
  <c r="I34" i="1" l="1"/>
  <c r="H36" i="1"/>
  <c r="C36" i="1"/>
  <c r="K7" i="1"/>
  <c r="K11" i="1" s="1"/>
  <c r="G2" i="1" s="1"/>
  <c r="D17" i="1"/>
  <c r="D9" i="1"/>
  <c r="J36" i="1" l="1"/>
  <c r="F9" i="1" s="1"/>
  <c r="F17" i="1" s="1"/>
  <c r="F19" i="1"/>
  <c r="F11" i="1"/>
</calcChain>
</file>

<file path=xl/sharedStrings.xml><?xml version="1.0" encoding="utf-8"?>
<sst xmlns="http://schemas.openxmlformats.org/spreadsheetml/2006/main" count="192" uniqueCount="108">
  <si>
    <t>MODE</t>
  </si>
  <si>
    <t>VOLTAGE(V)</t>
  </si>
  <si>
    <t>CURRENT(A)</t>
  </si>
  <si>
    <t>TIME(H)</t>
  </si>
  <si>
    <t>SELECT</t>
  </si>
  <si>
    <t>MODE 1</t>
  </si>
  <si>
    <t>MODE 2</t>
  </si>
  <si>
    <t>DISCHARGE</t>
  </si>
  <si>
    <t>MODE 3</t>
  </si>
  <si>
    <t>MODE 4</t>
  </si>
  <si>
    <t>MODE 5</t>
  </si>
  <si>
    <t>VOLTAGE DC</t>
  </si>
  <si>
    <t xml:space="preserve">C10 capacity </t>
  </si>
  <si>
    <t>MODE 6</t>
  </si>
  <si>
    <t>PULSE</t>
  </si>
  <si>
    <t>Number of Cells</t>
  </si>
  <si>
    <t>C10 AH x 10%</t>
  </si>
  <si>
    <t>C10 AH x 5%</t>
  </si>
  <si>
    <t>RESTORATION</t>
  </si>
  <si>
    <t>1.7 x Number of Cells</t>
  </si>
  <si>
    <t>2.5 x Number of Cells</t>
  </si>
  <si>
    <t>74.8A</t>
  </si>
  <si>
    <t>37.4A</t>
  </si>
  <si>
    <t>30.6V</t>
  </si>
  <si>
    <t>45V</t>
  </si>
  <si>
    <t>Bulk Charge Vpc x Number of cells</t>
  </si>
  <si>
    <t>Equalization Charge Vpc x Number of cells</t>
  </si>
  <si>
    <t>* Vpc = Volts per Cell</t>
  </si>
  <si>
    <t>sum</t>
  </si>
  <si>
    <t xml:space="preserve">*Enter only one AH Rating </t>
  </si>
  <si>
    <t>Flooded</t>
  </si>
  <si>
    <t>Sealed</t>
  </si>
  <si>
    <t>Gel</t>
  </si>
  <si>
    <t>AGM</t>
  </si>
  <si>
    <t>Select Battery Type</t>
  </si>
  <si>
    <t>Always use battery manufacturer recommended charging algorithm when possible!</t>
  </si>
  <si>
    <t>Battery Condition</t>
  </si>
  <si>
    <t>Capacity Test and Activation</t>
  </si>
  <si>
    <t>Restoration and Bulk Charge (80%)</t>
  </si>
  <si>
    <t>Restoration and Equalization</t>
  </si>
  <si>
    <t>Restoration and Cool Down</t>
  </si>
  <si>
    <t>Final Capacity Test</t>
  </si>
  <si>
    <t>93-M1001</t>
  </si>
  <si>
    <t>93-M1007</t>
  </si>
  <si>
    <t>93-M1005</t>
  </si>
  <si>
    <t>93-M1007-480</t>
  </si>
  <si>
    <t>93-M1009</t>
  </si>
  <si>
    <t>Enter Xtender Model</t>
  </si>
  <si>
    <t>Unit</t>
  </si>
  <si>
    <t>CAP</t>
  </si>
  <si>
    <t>Selected C10</t>
  </si>
  <si>
    <t>Above Machine Cap?</t>
  </si>
  <si>
    <t>Over 1000AH?</t>
  </si>
  <si>
    <t>Percent Over</t>
  </si>
  <si>
    <t>Additional Time</t>
  </si>
  <si>
    <t>1009 or 1007</t>
  </si>
  <si>
    <t>1009/7 and &gt;cap</t>
  </si>
  <si>
    <t>current sDis</t>
  </si>
  <si>
    <t>Unit Current C</t>
  </si>
  <si>
    <t>Over CL?</t>
  </si>
  <si>
    <t>Which Pick</t>
  </si>
  <si>
    <t>Discharge</t>
  </si>
  <si>
    <t>Bulk</t>
  </si>
  <si>
    <t>Equaliz</t>
  </si>
  <si>
    <t>Type</t>
  </si>
  <si>
    <t>g9</t>
  </si>
  <si>
    <t>g11</t>
  </si>
  <si>
    <t>g13</t>
  </si>
  <si>
    <t>g15</t>
  </si>
  <si>
    <t>g17</t>
  </si>
  <si>
    <t>G9P</t>
  </si>
  <si>
    <t>G11P</t>
  </si>
  <si>
    <t>G13P</t>
  </si>
  <si>
    <t>G15P</t>
  </si>
  <si>
    <t>G17P</t>
  </si>
  <si>
    <t>G19</t>
  </si>
  <si>
    <t>G19P</t>
  </si>
  <si>
    <t>Please select correct values for yellow cells, please enter only one Ah rating. For questions please call 800-333-1194.</t>
  </si>
  <si>
    <t>max V</t>
  </si>
  <si>
    <t>Selected Vlim</t>
  </si>
  <si>
    <t>max v cel</t>
  </si>
  <si>
    <t>6AH Rating</t>
  </si>
  <si>
    <t>10AH Rating</t>
  </si>
  <si>
    <t>20AH Rating</t>
  </si>
  <si>
    <t>Method</t>
  </si>
  <si>
    <t>Functional Description</t>
  </si>
  <si>
    <t>Restoration and Charge</t>
  </si>
  <si>
    <t>Cycle Charge/Discharge</t>
  </si>
  <si>
    <t>Equalization</t>
  </si>
  <si>
    <t>Average</t>
  </si>
  <si>
    <t>Below Average</t>
  </si>
  <si>
    <t>Poorest</t>
  </si>
  <si>
    <t>Current Mod</t>
  </si>
  <si>
    <t>Using Smart Discharger?</t>
  </si>
  <si>
    <t>YES</t>
  </si>
  <si>
    <t>NO</t>
  </si>
  <si>
    <t>Using dis?</t>
  </si>
  <si>
    <t>c6</t>
  </si>
  <si>
    <t>c10</t>
  </si>
  <si>
    <t>C6 Calc</t>
  </si>
  <si>
    <t>C6</t>
  </si>
  <si>
    <t>C10</t>
  </si>
  <si>
    <t>C20</t>
  </si>
  <si>
    <t>c20toc6</t>
  </si>
  <si>
    <t>c10toc6</t>
  </si>
  <si>
    <t>C6DISC</t>
  </si>
  <si>
    <t>Time NO dis</t>
  </si>
  <si>
    <t>Time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</si>
</sst>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1"/>
      <color indexed="9"/>
      <name val="Arial Black"/>
      <family val="2"/>
    </font>
    <font>
      <sz val="8"/>
      <name val="Calibri"/>
      <family val="2"/>
    </font>
    <font>
      <sz val="16"/>
      <color indexed="8"/>
      <name val="Arial Black"/>
      <family val="2"/>
    </font>
    <font>
      <sz val="11"/>
      <name val="Arial Black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FF0000"/>
      <name val="Arial Black"/>
      <family val="2"/>
    </font>
    <font>
      <sz val="16"/>
      <color theme="1"/>
      <name val="Calibri"/>
      <family val="2"/>
      <scheme val="minor"/>
    </font>
    <font>
      <sz val="11"/>
      <color theme="0"/>
      <name val="Arial Black"/>
      <family val="2"/>
    </font>
    <font>
      <sz val="16"/>
      <color rgb="FFFF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4" borderId="6" xfId="0" applyFill="1" applyBorder="1"/>
    <xf numFmtId="0" fontId="0" fillId="0" borderId="7" xfId="0" applyBorder="1" applyAlignment="1">
      <alignment horizontal="center"/>
    </xf>
    <xf numFmtId="0" fontId="0" fillId="4" borderId="8" xfId="0" applyFill="1" applyBorder="1"/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5" borderId="11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2" fillId="5" borderId="13" xfId="0" applyFont="1" applyFill="1" applyBorder="1" applyAlignment="1" applyProtection="1">
      <alignment horizontal="center"/>
    </xf>
    <xf numFmtId="0" fontId="12" fillId="5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8" fillId="6" borderId="18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9" fontId="1" fillId="0" borderId="20" xfId="0" applyNumberFormat="1" applyFont="1" applyBorder="1" applyAlignment="1" applyProtection="1">
      <alignment horizontal="center"/>
    </xf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190" fontId="1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Protection="1"/>
    <xf numFmtId="0" fontId="1" fillId="6" borderId="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0" borderId="18" xfId="0" applyFont="1" applyBorder="1" applyProtection="1"/>
    <xf numFmtId="0" fontId="1" fillId="7" borderId="1" xfId="0" applyFont="1" applyFill="1" applyBorder="1" applyProtection="1"/>
    <xf numFmtId="0" fontId="1" fillId="7" borderId="18" xfId="0" applyFont="1" applyFill="1" applyBorder="1" applyProtection="1"/>
    <xf numFmtId="0" fontId="1" fillId="0" borderId="11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190" fontId="1" fillId="0" borderId="23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1" fillId="0" borderId="34" xfId="0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190" fontId="1" fillId="5" borderId="26" xfId="0" applyNumberFormat="1" applyFont="1" applyFill="1" applyBorder="1" applyAlignment="1" applyProtection="1">
      <alignment horizontal="center" vertical="center"/>
    </xf>
    <xf numFmtId="190" fontId="1" fillId="5" borderId="12" xfId="0" applyNumberFormat="1" applyFont="1" applyFill="1" applyBorder="1" applyAlignment="1" applyProtection="1">
      <alignment horizontal="center" vertical="center"/>
    </xf>
    <xf numFmtId="190" fontId="0" fillId="0" borderId="27" xfId="0" applyNumberFormat="1" applyBorder="1" applyAlignment="1">
      <alignment horizontal="center" vertical="center"/>
    </xf>
    <xf numFmtId="190" fontId="0" fillId="0" borderId="28" xfId="0" applyNumberFormat="1" applyBorder="1" applyAlignment="1">
      <alignment horizontal="center" vertical="center"/>
    </xf>
    <xf numFmtId="190" fontId="0" fillId="5" borderId="27" xfId="0" applyNumberFormat="1" applyFill="1" applyBorder="1" applyAlignment="1">
      <alignment horizontal="center" vertical="center"/>
    </xf>
    <xf numFmtId="190" fontId="0" fillId="5" borderId="28" xfId="0" applyNumberFormat="1" applyFill="1" applyBorder="1" applyAlignment="1">
      <alignment horizontal="center" vertical="center"/>
    </xf>
    <xf numFmtId="1" fontId="1" fillId="5" borderId="13" xfId="0" applyNumberFormat="1" applyFont="1" applyFill="1" applyBorder="1" applyAlignment="1" applyProtection="1">
      <alignment horizontal="center" vertical="center"/>
    </xf>
    <xf numFmtId="1" fontId="1" fillId="5" borderId="29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5" borderId="26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 vertic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4" xfId="0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0" fillId="9" borderId="24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4" fillId="4" borderId="36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32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0" fillId="5" borderId="29" xfId="0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7" fillId="7" borderId="1" xfId="1" applyFill="1" applyBorder="1" applyAlignment="1" applyProtection="1">
      <alignment horizontal="center"/>
      <protection locked="0"/>
    </xf>
    <xf numFmtId="0" fontId="7" fillId="7" borderId="24" xfId="1" applyFill="1" applyBorder="1" applyAlignment="1" applyProtection="1">
      <alignment horizontal="center"/>
      <protection locked="0"/>
    </xf>
    <xf numFmtId="0" fontId="7" fillId="7" borderId="18" xfId="1" applyFill="1" applyBorder="1" applyAlignment="1" applyProtection="1">
      <alignment horizontal="center"/>
      <protection locked="0"/>
    </xf>
    <xf numFmtId="0" fontId="12" fillId="8" borderId="22" xfId="0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533400</xdr:colOff>
      <xdr:row>0</xdr:row>
      <xdr:rowOff>895350</xdr:rowOff>
    </xdr:to>
    <xdr:pic>
      <xdr:nvPicPr>
        <xdr:cNvPr id="1127" name="Picture 1">
          <a:extLst>
            <a:ext uri="{FF2B5EF4-FFF2-40B4-BE49-F238E27FC236}">
              <a16:creationId xmlns:a16="http://schemas.microsoft.com/office/drawing/2014/main" id="{E0CEBC6C-B0F8-4037-91D7-4C0F6E72D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Normal="100" workbookViewId="0">
      <selection activeCell="E6" sqref="E6:I6"/>
    </sheetView>
  </sheetViews>
  <sheetFormatPr defaultColWidth="11.42578125" defaultRowHeight="18.75" x14ac:dyDescent="0.4"/>
  <cols>
    <col min="1" max="1" width="14.85546875" style="2" customWidth="1"/>
    <col min="2" max="2" width="10.140625" style="2" customWidth="1"/>
    <col min="3" max="3" width="19.7109375" style="2" customWidth="1"/>
    <col min="4" max="4" width="15" style="2" customWidth="1"/>
    <col min="5" max="5" width="16" style="2" customWidth="1"/>
    <col min="6" max="6" width="17.140625" style="2" customWidth="1"/>
    <col min="7" max="7" width="15" style="2" customWidth="1"/>
    <col min="8" max="8" width="18.85546875" style="2" customWidth="1"/>
    <col min="9" max="9" width="43" style="2" customWidth="1"/>
    <col min="10" max="10" width="17" style="1" hidden="1" customWidth="1"/>
    <col min="11" max="11" width="11.42578125" style="1" hidden="1" customWidth="1"/>
    <col min="12" max="12" width="14.42578125" style="1" hidden="1" customWidth="1"/>
    <col min="13" max="13" width="15.85546875" style="1" hidden="1" customWidth="1"/>
    <col min="14" max="14" width="17.42578125" style="1" hidden="1" customWidth="1"/>
    <col min="15" max="16" width="11.42578125" style="1" hidden="1" customWidth="1"/>
    <col min="17" max="22" width="8.7109375" style="1" hidden="1" customWidth="1"/>
    <col min="23" max="23" width="11.42578125" style="1" hidden="1" customWidth="1"/>
    <col min="24" max="24" width="11.42578125" style="1" customWidth="1"/>
    <col min="25" max="16384" width="11.42578125" style="1"/>
  </cols>
  <sheetData>
    <row r="1" spans="1:22" ht="80.099999999999994" customHeight="1" thickBot="1" x14ac:dyDescent="0.45">
      <c r="A1" s="97"/>
      <c r="B1" s="80"/>
      <c r="C1" s="94" t="s">
        <v>77</v>
      </c>
      <c r="D1" s="95"/>
      <c r="E1" s="95"/>
      <c r="F1" s="95"/>
      <c r="G1" s="95"/>
      <c r="H1" s="95"/>
      <c r="I1" s="96"/>
      <c r="L1" s="2"/>
      <c r="M1" s="2"/>
      <c r="N1" s="2"/>
      <c r="O1" s="2"/>
      <c r="P1" s="2"/>
    </row>
    <row r="2" spans="1:22" ht="19.5" customHeight="1" thickBot="1" x14ac:dyDescent="0.45">
      <c r="A2" s="101" t="s">
        <v>11</v>
      </c>
      <c r="B2" s="102"/>
      <c r="C2" s="23" t="s">
        <v>15</v>
      </c>
      <c r="D2" s="23" t="s">
        <v>81</v>
      </c>
      <c r="E2" s="24" t="s">
        <v>82</v>
      </c>
      <c r="F2" s="24" t="s">
        <v>83</v>
      </c>
      <c r="G2" s="70" t="str">
        <f>IF(K11&gt;1, "ERROR! CHECK INPUT VALUES", IF(K11=1, "", IF(K11=0, "")))</f>
        <v/>
      </c>
      <c r="H2" s="71"/>
      <c r="I2" s="72"/>
      <c r="L2" s="36" t="s">
        <v>60</v>
      </c>
      <c r="M2" s="36" t="s">
        <v>64</v>
      </c>
      <c r="N2" s="36" t="s">
        <v>61</v>
      </c>
      <c r="O2" s="36" t="s">
        <v>62</v>
      </c>
      <c r="P2" s="36" t="s">
        <v>63</v>
      </c>
      <c r="Q2" s="36" t="s">
        <v>65</v>
      </c>
      <c r="R2" s="36" t="s">
        <v>66</v>
      </c>
      <c r="S2" s="36" t="s">
        <v>67</v>
      </c>
      <c r="T2" s="36" t="s">
        <v>68</v>
      </c>
      <c r="U2" s="36" t="s">
        <v>69</v>
      </c>
      <c r="V2" s="35" t="s">
        <v>75</v>
      </c>
    </row>
    <row r="3" spans="1:22" ht="19.5" customHeight="1" thickBot="1" x14ac:dyDescent="0.45">
      <c r="A3" s="99">
        <v>48</v>
      </c>
      <c r="B3" s="100"/>
      <c r="C3" s="25">
        <f>A3/2</f>
        <v>24</v>
      </c>
      <c r="D3" s="41">
        <v>740</v>
      </c>
      <c r="E3" s="41"/>
      <c r="F3" s="27"/>
      <c r="G3" s="73"/>
      <c r="H3" s="74"/>
      <c r="I3" s="75"/>
      <c r="L3" s="36">
        <f>IF(C4="Flooded",1, 0)</f>
        <v>1</v>
      </c>
      <c r="M3" s="36" t="s">
        <v>30</v>
      </c>
      <c r="N3" s="36">
        <v>1.7</v>
      </c>
      <c r="O3" s="36">
        <v>2.516</v>
      </c>
      <c r="P3" s="36">
        <v>2.6</v>
      </c>
      <c r="Q3" s="36">
        <f>IF((I9="Capacity Test and Activation"),N3,IF((I9="Restoration and Bulk Charge (80%)"),O3,IF((I9="Restoration and Equalization"),P3,IF((I9="Restoration and Cool Down"),O3,IF((I9="Final Capacity Test"),N3)))))</f>
        <v>1.7</v>
      </c>
      <c r="R3" s="36">
        <f>IF((I11="Capacity Test and Activation"),N3,IF((I11="Restoration and Charge"),O3,IF((I11="Equalization"),P3,IF((I11="Cycle Charge/Discharge"),O3,IF((I11="Final Capacity Test"),N3)))))</f>
        <v>2.516</v>
      </c>
      <c r="S3" s="36">
        <v>2.6</v>
      </c>
      <c r="T3" s="36">
        <f>IF((I15="Capacity Test and Activation"),N3,IF((I15="Restoration and Charge"),O3,IF((I15="Equalization"),P3,IF((I15="Cycle Charge/Discharge"),O3,IF((I15="Final Capacity Test"),N3)))))</f>
        <v>2.6</v>
      </c>
      <c r="U3" s="36">
        <f>IF((I17="Capacity Test and Activation"),N3,IF((I17="Restoration and Charge"),O3,IF((I17="Equalization"),P3,IF((I17="Cycle Charge/Discharge"),O3,IF((I17="Final Capacity Test"),N3)))))</f>
        <v>1.7</v>
      </c>
      <c r="V3" s="35">
        <v>2.516</v>
      </c>
    </row>
    <row r="4" spans="1:22" ht="19.5" customHeight="1" thickBot="1" x14ac:dyDescent="0.45">
      <c r="A4" s="64" t="s">
        <v>34</v>
      </c>
      <c r="B4" s="65"/>
      <c r="C4" s="26" t="s">
        <v>30</v>
      </c>
      <c r="D4" s="81" t="s">
        <v>29</v>
      </c>
      <c r="E4" s="82"/>
      <c r="F4" s="83"/>
      <c r="G4" s="73"/>
      <c r="H4" s="74"/>
      <c r="I4" s="75"/>
      <c r="L4" s="36">
        <f>IF(C4="Sealed",1,0)</f>
        <v>0</v>
      </c>
      <c r="M4" s="36" t="s">
        <v>31</v>
      </c>
      <c r="N4" s="36">
        <v>1.75</v>
      </c>
      <c r="O4" s="36">
        <v>2.3250000000000002</v>
      </c>
      <c r="P4" s="36">
        <v>2.35</v>
      </c>
      <c r="Q4" s="36">
        <f>IF((I9="Capacity Test and Activation"),N4,IF((I9="Restoration and Bulk Charge (80%)"),O4,IF((I9="Restoration and Equalization"),P4,IF((I9="Restoration and Cool Down"),O4,IF((I9="Final Capacity Test"),N4)))))</f>
        <v>1.75</v>
      </c>
      <c r="R4" s="36">
        <f>IF((I11="Capacity Test and Activation"),N4,IF((I11="Restoration and Charge"),O4,IF((I11="Equalization"),P3,IF((I11="Cycle Charge/Discharge"),O4,IF((I11="Final Capacity Test"),N4)))))</f>
        <v>2.3250000000000002</v>
      </c>
      <c r="S4" s="36">
        <f>IF((I13="Capacity Test and Activation"),N4,IF((I13="Restoration and Charge"),O4,IF((I13="Equalization"),P4,IF((I13="Cycle Charge/Discharge"),O4,IF((I13="Final Capacity Test"),N4)))))</f>
        <v>2.3250000000000002</v>
      </c>
      <c r="T4" s="36">
        <f>IF((I15="Capacity Test and Activation"),N4,IF((I15="Restoration and Charge"),O4,IF((I15="Equalization"),P4,IF((I15="Cycle Charge/Discharge"),O4,IF((I15="Final Capacity Test"),N4)))))</f>
        <v>2.35</v>
      </c>
      <c r="U4" s="36">
        <f>IF((I17="Capacity Test and Activation"),N4,IF((I17="Restoration and Charge"),O4,IF((I17="Equalization"),P4,IF((I17="Cycle Charge/Discharge"),O4,IF((I17="Final Capacity Test"),N4)))))</f>
        <v>1.75</v>
      </c>
      <c r="V4" s="35">
        <f>IF((I19="Capacity Test and Activation"),N4,IF((I19="Restoration and Charge"),O4,IF((I19="Equalization"),P4,IF((I19="Cycle Charge/Discharge"),O4,IF((I19="Final Capacity Test"),N4)))))</f>
        <v>2.3250000000000002</v>
      </c>
    </row>
    <row r="5" spans="1:22" ht="19.5" customHeight="1" thickBot="1" x14ac:dyDescent="0.45">
      <c r="A5" s="64" t="s">
        <v>36</v>
      </c>
      <c r="B5" s="91"/>
      <c r="C5" s="28" t="s">
        <v>89</v>
      </c>
      <c r="D5" s="92" t="s">
        <v>47</v>
      </c>
      <c r="E5" s="93"/>
      <c r="F5" s="28" t="s">
        <v>43</v>
      </c>
      <c r="G5" s="73"/>
      <c r="H5" s="76"/>
      <c r="I5" s="75"/>
      <c r="L5" s="36">
        <f>IF(C4="GEL",1,0)</f>
        <v>0</v>
      </c>
      <c r="M5" s="36" t="s">
        <v>32</v>
      </c>
      <c r="N5" s="36">
        <v>1.75</v>
      </c>
      <c r="O5" s="36">
        <v>2.3250000000000002</v>
      </c>
      <c r="P5" s="36">
        <v>2.4079999999999999</v>
      </c>
      <c r="Q5" s="36">
        <f>IF((I9="Capacity Test and Activation"),N5,IF((I9="Restoration and Bulk Charge (80%)"),O5,IF((I9="Restoration and Equalization"),P5,IF((I9="Restoration and Cool Down"),O5,IF((I9="Final Capacity Test"),N5)))))</f>
        <v>1.75</v>
      </c>
      <c r="R5" s="36">
        <f>IF((I11="Capacity Test and Activation"),N5,IF((I11="Restoration and Charge"),O5,IF((I11="Equalization"),P5,IF((I11="Cycle Charge/Discharge"),O5,IF((I11="Final Capacity Test"),N5)))))</f>
        <v>2.3250000000000002</v>
      </c>
      <c r="S5" s="36">
        <f>IF((I13="Capacity Test and Activation"),N5,IF((I13="Restoration and Charge"),O5,IF((I13="Equalization"),P5,IF((I13="Cycle Charge/Discharge"),O5,IF((I13="Final Capacity Test"),N5)))))</f>
        <v>2.3250000000000002</v>
      </c>
      <c r="T5" s="36">
        <f>IF((I15="Capacity Test and Activation"),N5,IF((I15="Restoration and Charge"),O5,IF((I15="Equalization"),P5,IF((I15="Cycle Charge/Discharge"),O5,IF((I15="Final Capacity Test"),N5)))))</f>
        <v>2.4079999999999999</v>
      </c>
      <c r="U5" s="36">
        <f>IF((I17="Capacity Test and Activation"),N5,IF((I17="Restoration and Charge"),O5,IF((I17="Equalization"),P5,IF((I17="Cycle Charge/Discharge"),O5,IF((I17="Final Capacity Test"),N5)))))</f>
        <v>1.75</v>
      </c>
      <c r="V5" s="35">
        <f>IF((I19="Capacity Test and Activation"),N5,IF((I19="Restoration and Charge"),O5,IF((I19="Equalization"),P5,IF((I19="Cycle Charge/Discharge"),O5,IF((I19="Final Capacity Test"),N5)))))</f>
        <v>2.3250000000000002</v>
      </c>
    </row>
    <row r="6" spans="1:22" ht="19.5" thickBot="1" x14ac:dyDescent="0.45">
      <c r="A6" s="84" t="s">
        <v>93</v>
      </c>
      <c r="B6" s="85"/>
      <c r="C6" s="86"/>
      <c r="D6" s="42" t="s">
        <v>95</v>
      </c>
      <c r="E6" s="103"/>
      <c r="F6" s="104"/>
      <c r="G6" s="104"/>
      <c r="H6" s="104"/>
      <c r="I6" s="105"/>
      <c r="K6" s="1">
        <f>IF(B26&gt;A36,1,0)</f>
        <v>0</v>
      </c>
      <c r="L6" s="36">
        <f>IF(C4="AGM",1,0)</f>
        <v>0</v>
      </c>
      <c r="M6" s="36" t="s">
        <v>33</v>
      </c>
      <c r="N6" s="36">
        <v>1.75</v>
      </c>
      <c r="O6" s="36">
        <v>2.3250000000000002</v>
      </c>
      <c r="P6" s="36">
        <v>2.4079999999999999</v>
      </c>
      <c r="Q6" s="36">
        <f>IF((I9="Capacity Test and Activation"),N6,IF((I9="Restoration and Bulk Charge (80%)"),O6,IF((I9="Restoration and Equalization"),P6,IF((I9="Restoration and Cool Down"),O6,IF((I9="Final Capacity Test"),N6)))))</f>
        <v>1.75</v>
      </c>
      <c r="R6" s="36">
        <f>IF((I11="Capacity Test and Activation"),N6,IF((I11="Restoration and Charge"),O6,IF((I11="Equalization"),P6,IF((I11="Cycle Charge/Discharge"),O6,IF((I11="Final Capacity Test"),N6)))))</f>
        <v>2.3250000000000002</v>
      </c>
      <c r="S6" s="36">
        <f>IF((I13="Capacity Test and Activation"),N6,IF((I13="Restoration and Charge"),O6,IF((I13="Equalization"),P6,IF((I13="Cycle Charge/Discharge"),O6,IF((I13="Final Capacity Test"),N6)))))</f>
        <v>2.3250000000000002</v>
      </c>
      <c r="T6" s="36">
        <f>IF((I15="Capacity Test and Activation"),N6,IF((I15="Restoration and Charge"),O6,IF((I15="Equalization"),P6,IF((I15="Cycle Charge/Discharge"),O6,IF((I15="Final Capacity Test"),N6)))))</f>
        <v>2.4079999999999999</v>
      </c>
      <c r="U6" s="36">
        <f>IF((I17="Capacity Test and Activation"),N6,IF((I17="Restoration and Charge"),O6,IF((I17="Equalization"),P6,IF((I17="Cycle Charge/Discharge"),O6,IF((I17="Final Capacity Test"),N6)))))</f>
        <v>1.75</v>
      </c>
      <c r="V6" s="35">
        <f>IF((I19="Capacity Test and Activation"),N6,IF((I19="Restoration and Charge"),O6,IF((I19="Equalization"),P6,IF((I19="Cycle Charge/Discharge"),O6,IF((I19="Final Capacity Test"),N6)))))</f>
        <v>2.3250000000000002</v>
      </c>
    </row>
    <row r="7" spans="1:22" ht="19.5" thickBot="1" x14ac:dyDescent="0.45">
      <c r="A7" s="3"/>
      <c r="B7" s="77" t="s">
        <v>12</v>
      </c>
      <c r="C7" s="77"/>
      <c r="D7" s="77"/>
      <c r="E7" s="77"/>
      <c r="F7" s="77"/>
      <c r="G7" s="78"/>
      <c r="H7" s="79">
        <f>IF(J8=TRUE,D3*1.1,IF(J9=TRUE,E3,IF(J10=TRUE,F3*0.9)))</f>
        <v>814.00000000000011</v>
      </c>
      <c r="I7" s="80"/>
      <c r="K7" s="1">
        <f>H32</f>
        <v>0</v>
      </c>
    </row>
    <row r="8" spans="1:22" ht="19.5" thickBot="1" x14ac:dyDescent="0.45">
      <c r="A8" s="19" t="s">
        <v>0</v>
      </c>
      <c r="B8" s="68" t="s">
        <v>1</v>
      </c>
      <c r="C8" s="69"/>
      <c r="D8" s="68" t="s">
        <v>2</v>
      </c>
      <c r="E8" s="69"/>
      <c r="F8" s="20" t="s">
        <v>3</v>
      </c>
      <c r="G8" s="37" t="s">
        <v>84</v>
      </c>
      <c r="H8" s="22" t="s">
        <v>14</v>
      </c>
      <c r="I8" s="21" t="s">
        <v>85</v>
      </c>
      <c r="J8" s="1" t="b">
        <f>IF(D3&gt;0,TRUE)</f>
        <v>1</v>
      </c>
      <c r="K8" s="1">
        <f>IF(J8=TRUE,1,IF(J8=FALSE,0))</f>
        <v>1</v>
      </c>
      <c r="Q8" s="36" t="s">
        <v>70</v>
      </c>
      <c r="R8" s="36" t="s">
        <v>71</v>
      </c>
      <c r="S8" s="36" t="s">
        <v>72</v>
      </c>
      <c r="T8" s="36" t="s">
        <v>73</v>
      </c>
      <c r="U8" s="36" t="s">
        <v>74</v>
      </c>
      <c r="V8" s="36" t="s">
        <v>76</v>
      </c>
    </row>
    <row r="9" spans="1:22" ht="14.25" customHeight="1" x14ac:dyDescent="0.4">
      <c r="A9" s="87" t="s">
        <v>5</v>
      </c>
      <c r="B9" s="56">
        <f>Q9*C3</f>
        <v>40.799999999999997</v>
      </c>
      <c r="C9" s="57"/>
      <c r="D9" s="56">
        <f>IF((P23=1),N16,N15)</f>
        <v>81.400000000000006</v>
      </c>
      <c r="E9" s="57"/>
      <c r="F9" s="62">
        <f>IF(P23=1,J37,J36)</f>
        <v>10</v>
      </c>
      <c r="G9" s="66" t="str">
        <f>IF((I9="Capacity Test and Activation"),"Discharge",IF((I9="Restoration and Bulk Charge (80%)"),"Restore",IF((I9="Restoration and Equalization"),"Restore",IF((I9="Restoration and Cool Down"),"Restore",IF((I9="Final Capacity Test"),"Discharge")))))</f>
        <v>Discharge</v>
      </c>
      <c r="H9" s="89">
        <v>1</v>
      </c>
      <c r="I9" s="66" t="str">
        <f>H25</f>
        <v>Capacity Test and Activation</v>
      </c>
      <c r="J9" s="1" t="b">
        <f>IF(E3&gt;0,TRUE)</f>
        <v>0</v>
      </c>
      <c r="K9" s="1">
        <f>IF(J9=TRUE,1,IF(J9=FALSE,0))</f>
        <v>0</v>
      </c>
      <c r="M9" s="1">
        <f>IF(C4="Flooded", 2.5, IF(C4="Sealed",2.4, IF(C4="GEL",2.4, IF(C4="AGM",2.45, IF(C4="Sealed &gt;85F",2.35)))))</f>
        <v>2.5</v>
      </c>
      <c r="Q9" s="54">
        <f>(Q3*L3)+(Q4*L4)+(Q5*L5)+(Q6*L6)</f>
        <v>1.7</v>
      </c>
      <c r="R9" s="52">
        <f>(R3*L3)+(R4*L4)+(R5*L5)+(R6*L6)</f>
        <v>2.516</v>
      </c>
      <c r="S9" s="52">
        <f>(S3*L3)+(S4*L4)+(S5*L5)+(S6*L6)</f>
        <v>2.6</v>
      </c>
      <c r="T9" s="52">
        <f>(T3*L3)+(T4*L4)+(T5*L5)+(T6*L6)</f>
        <v>2.6</v>
      </c>
      <c r="U9" s="52">
        <f>(U3*L3)+(U4*L4)+(U5*L5)+(U6*L6)</f>
        <v>1.7</v>
      </c>
      <c r="V9" s="54">
        <f>(V3*L3)+(V4*L4)+(V5*L5)+(V6*L6)</f>
        <v>2.516</v>
      </c>
    </row>
    <row r="10" spans="1:22" ht="8.25" customHeight="1" thickBot="1" x14ac:dyDescent="0.45">
      <c r="A10" s="88"/>
      <c r="B10" s="58"/>
      <c r="C10" s="59"/>
      <c r="D10" s="58"/>
      <c r="E10" s="59"/>
      <c r="F10" s="63"/>
      <c r="G10" s="67"/>
      <c r="H10" s="90"/>
      <c r="I10" s="98"/>
      <c r="J10" s="1" t="b">
        <f>IF(F3&gt;0,TRUE)</f>
        <v>0</v>
      </c>
      <c r="K10" s="1">
        <f>IF(J10=TRUE,1,IF(J10=FALSE,0))</f>
        <v>0</v>
      </c>
      <c r="O10" s="1">
        <f>IF(C4="Flooded", 2.55, IF(C4="Sealed",2.4, IF(C4="GEL",2.43, IF(C4="AGM",2.42, IF(C4="Sealed &gt;85F",2.35)))))</f>
        <v>2.5499999999999998</v>
      </c>
      <c r="Q10" s="55"/>
      <c r="R10" s="53"/>
      <c r="S10" s="53"/>
      <c r="T10" s="53"/>
      <c r="U10" s="53"/>
      <c r="V10" s="55"/>
    </row>
    <row r="11" spans="1:22" ht="12" customHeight="1" x14ac:dyDescent="0.4">
      <c r="A11" s="87" t="s">
        <v>6</v>
      </c>
      <c r="B11" s="56">
        <f>R9*C3</f>
        <v>60.384</v>
      </c>
      <c r="C11" s="57"/>
      <c r="D11" s="56">
        <f>IF((J32=TRUE),J30,H7/10)</f>
        <v>81.400000000000006</v>
      </c>
      <c r="E11" s="57"/>
      <c r="F11" s="62">
        <f>H36*10</f>
        <v>10</v>
      </c>
      <c r="G11" s="66" t="str">
        <f>IF((I11="Capacity Test and Activation"),"Discharge",IF((I11="Restoration and Charge"),"Restore",IF((I11="Restoration and Equalization"),"Restore",IF((I11="Restoration and Cool Down"),"Restore",IF((I11="Final Capacity Test"),"Discharge")))))</f>
        <v>Restore</v>
      </c>
      <c r="H11" s="89">
        <v>7</v>
      </c>
      <c r="I11" s="66" t="str">
        <f>H26</f>
        <v>Restoration and Charge</v>
      </c>
      <c r="J11" s="1" t="s">
        <v>28</v>
      </c>
      <c r="K11" s="1">
        <f>SUM(K6,K7,K8,K9,K10)</f>
        <v>1</v>
      </c>
    </row>
    <row r="12" spans="1:22" ht="12" customHeight="1" thickBot="1" x14ac:dyDescent="0.45">
      <c r="A12" s="88"/>
      <c r="B12" s="58"/>
      <c r="C12" s="59"/>
      <c r="D12" s="58"/>
      <c r="E12" s="59"/>
      <c r="F12" s="63"/>
      <c r="G12" s="67"/>
      <c r="H12" s="90"/>
      <c r="I12" s="98"/>
    </row>
    <row r="13" spans="1:22" ht="12" customHeight="1" x14ac:dyDescent="0.4">
      <c r="A13" s="87" t="s">
        <v>8</v>
      </c>
      <c r="B13" s="56">
        <f>S9*C3</f>
        <v>62.400000000000006</v>
      </c>
      <c r="C13" s="57"/>
      <c r="D13" s="56">
        <f>IF((C5="2- Very Good"),4,IF((C5="1- Excellent"),2,IF((C5="Average"),N23,IF((C5="Below Average"),N24,IF((C5="Poorest"),N25)))))</f>
        <v>28.490000000000006</v>
      </c>
      <c r="E13" s="57"/>
      <c r="F13" s="62">
        <f>IF((C5="2- Very Good"),4,IF((C5="1- Excellent"),2,IF((C5="Average"),L23,IF((C5="Below Average"),L24,IF((C5="Poorest"),L25)))))</f>
        <v>6</v>
      </c>
      <c r="G13" s="66" t="str">
        <f>IF((I13="Capacity Test and Activation"),"Discharge",IF((I13="Restoration and Charge"),"Restore",IF((I13="Equalization"),"Restore",IF((I13="Cycle Charge/Discharge"),"Restore",IF((I13="Final Capacity Test"),"Discharge")))))</f>
        <v>Restore</v>
      </c>
      <c r="H13" s="89">
        <f>IF((C5="2- Very Good"),4,IF((C5="1- Excellent"),2,IF((C5="Average"),4,IF((C5="Below Average"),4,IF((C5="Poorest"),4)))))</f>
        <v>4</v>
      </c>
      <c r="I13" s="66" t="str">
        <f>IF((C5="1- Excellent"),H27,H28)</f>
        <v>Cycle Charge/Discharge</v>
      </c>
      <c r="P13" s="2" t="s">
        <v>37</v>
      </c>
    </row>
    <row r="14" spans="1:22" ht="12" customHeight="1" thickBot="1" x14ac:dyDescent="0.45">
      <c r="A14" s="88"/>
      <c r="B14" s="58"/>
      <c r="C14" s="59"/>
      <c r="D14" s="58"/>
      <c r="E14" s="59"/>
      <c r="F14" s="63"/>
      <c r="G14" s="67"/>
      <c r="H14" s="90"/>
      <c r="I14" s="98"/>
      <c r="P14" s="2" t="s">
        <v>38</v>
      </c>
    </row>
    <row r="15" spans="1:22" ht="12" customHeight="1" x14ac:dyDescent="0.4">
      <c r="A15" s="87" t="s">
        <v>9</v>
      </c>
      <c r="B15" s="56">
        <f>T9*C3</f>
        <v>62.400000000000006</v>
      </c>
      <c r="C15" s="57"/>
      <c r="D15" s="56">
        <f>K19</f>
        <v>40.70000000000001</v>
      </c>
      <c r="E15" s="57"/>
      <c r="F15" s="62">
        <f>IF((C5="2- Very Good"),8*H36,IF((C5="1- Excellent"),10*H36,IF((C5="Average"),8,IF((C5="Below Average"),8,IF((C5="Poorest"),8)))))</f>
        <v>8</v>
      </c>
      <c r="G15" s="66" t="str">
        <f>IF((I15="Capacity Test and Activation"),"Discharge",IF((I15="Restoration and Charge"),"Restore",IF((I15="Equalization"),"Restore",IF((I15="Cycle Charge/Discharge"),"Restore",IF((I15="Final Capacity Test"),"Discharge")))))</f>
        <v>Restore</v>
      </c>
      <c r="H15" s="89">
        <f>IF((C5="2- Very Good"),2,IF((C5="1- Excellent"),1,IF((C5="Average"),2,IF((C5="Below Average"),2,IF((C5="Poorest"),2)))))</f>
        <v>2</v>
      </c>
      <c r="I15" s="66" t="str">
        <f>IF(C5="1- Excellent",H29,H27)</f>
        <v>Equalization</v>
      </c>
      <c r="J15" s="18"/>
      <c r="M15" s="47" t="s">
        <v>98</v>
      </c>
      <c r="N15" s="48">
        <f>IF((J32=TRUE),J30,H7/10)</f>
        <v>81.400000000000006</v>
      </c>
      <c r="P15" s="2" t="s">
        <v>39</v>
      </c>
    </row>
    <row r="16" spans="1:22" ht="12" customHeight="1" thickBot="1" x14ac:dyDescent="0.45">
      <c r="A16" s="88"/>
      <c r="B16" s="58"/>
      <c r="C16" s="59"/>
      <c r="D16" s="60"/>
      <c r="E16" s="61"/>
      <c r="F16" s="63"/>
      <c r="G16" s="67"/>
      <c r="H16" s="90"/>
      <c r="I16" s="98"/>
      <c r="L16" s="1">
        <f>H7/50</f>
        <v>16.28</v>
      </c>
      <c r="M16" s="49" t="s">
        <v>97</v>
      </c>
      <c r="N16" s="50">
        <f>P27</f>
        <v>123.33333333333333</v>
      </c>
      <c r="P16" s="2" t="s">
        <v>40</v>
      </c>
    </row>
    <row r="17" spans="1:17" ht="12" customHeight="1" x14ac:dyDescent="0.4">
      <c r="A17" s="87" t="s">
        <v>10</v>
      </c>
      <c r="B17" s="56">
        <f>U9*C3</f>
        <v>40.799999999999997</v>
      </c>
      <c r="C17" s="57"/>
      <c r="D17" s="56">
        <f>IF((P23=1),N16,N15)</f>
        <v>81.400000000000006</v>
      </c>
      <c r="E17" s="57"/>
      <c r="F17" s="62">
        <f>IF((C5="2- Very Good"),10*H36,IF((C5="1- Excellent"),10*H36,IF((C5="Average"),F9,IF((C5="Below Average"),10*H36,IF((C5="Poorest"),10*H36)))))</f>
        <v>10</v>
      </c>
      <c r="G17" s="66" t="str">
        <f>IF((I17="Capacity Test and Activation"),"Discharge",IF((I17="Restoration and Charge"),"Restore",IF((I17="Equalization"),"Restore",IF((I17="Cycle Charge/Discharge"),"Restore",IF((I17="Final Capacity Test"),"Discharge")))))</f>
        <v>Discharge</v>
      </c>
      <c r="H17" s="89">
        <f>IF((C5="2- Very Good"),1,IF((C5="1- Excellent"),7,IF((C5="Average"),1,IF((C5="Below Average"),1,IF((C5="Poorest"),1)))))</f>
        <v>1</v>
      </c>
      <c r="I17" s="66" t="str">
        <f>IF(C5="1- Excellent",H26,H29)</f>
        <v>Final Capacity Test</v>
      </c>
      <c r="P17" s="2" t="s">
        <v>41</v>
      </c>
    </row>
    <row r="18" spans="1:17" ht="12" customHeight="1" thickBot="1" x14ac:dyDescent="0.45">
      <c r="A18" s="88"/>
      <c r="B18" s="58"/>
      <c r="C18" s="59"/>
      <c r="D18" s="58"/>
      <c r="E18" s="59"/>
      <c r="F18" s="63"/>
      <c r="G18" s="67"/>
      <c r="H18" s="90"/>
      <c r="I18" s="98"/>
    </row>
    <row r="19" spans="1:17" ht="12" customHeight="1" x14ac:dyDescent="0.4">
      <c r="A19" s="87" t="s">
        <v>13</v>
      </c>
      <c r="B19" s="56">
        <f>V9*C3</f>
        <v>60.384</v>
      </c>
      <c r="C19" s="57"/>
      <c r="D19" s="56">
        <f>J20</f>
        <v>81.400000000000006</v>
      </c>
      <c r="E19" s="57"/>
      <c r="F19" s="62">
        <f>IF((C5="2- Very Good"),10*H36,IF((C5="1- Excellent"),8*H36,IF((C5="Average"),10*H36,IF((C5="Below Average"),10*H36,IF((C5="Poorest"),10*H36)))))</f>
        <v>10</v>
      </c>
      <c r="G19" s="66" t="str">
        <f>IF((I19="Capacity Test and Activation"),"Discharge",IF((I19="Restoration and Charge"),"Restore",IF((I19="Equalization"),"Restore",IF((I19="Cycle Charge/Discharge"),"Restore",IF((I19="Final Capacity Test"),"Discharge")))))</f>
        <v>Restore</v>
      </c>
      <c r="H19" s="89">
        <f>IF((C5="2- Very Good"),7,IF((C5="1- Excellent"),2,IF((C5="Average"),7,IF((C5="Below Average"),7,IF((C5="Poorest"),7)))))</f>
        <v>7</v>
      </c>
      <c r="I19" s="66" t="str">
        <f>IF(C5="1- Excellent",H27,H26)</f>
        <v>Restoration and Charge</v>
      </c>
      <c r="J19" s="1">
        <f>IF((F23="1"),I22,H7*0.05)</f>
        <v>40.70000000000001</v>
      </c>
      <c r="K19" s="1">
        <f>IF(J19&gt;100,100,J19)</f>
        <v>40.70000000000001</v>
      </c>
    </row>
    <row r="20" spans="1:17" ht="12" customHeight="1" thickBot="1" x14ac:dyDescent="0.45">
      <c r="A20" s="88"/>
      <c r="B20" s="58"/>
      <c r="C20" s="59"/>
      <c r="D20" s="60"/>
      <c r="E20" s="61"/>
      <c r="F20" s="63"/>
      <c r="G20" s="67"/>
      <c r="H20" s="90"/>
      <c r="I20" s="98"/>
      <c r="J20" s="1">
        <f>IF((F23="1"),I22*0.5,I22)</f>
        <v>81.400000000000006</v>
      </c>
    </row>
    <row r="21" spans="1:17" ht="19.5" thickBot="1" x14ac:dyDescent="0.45">
      <c r="A21" s="106" t="s">
        <v>35</v>
      </c>
      <c r="B21" s="107"/>
      <c r="C21" s="107"/>
      <c r="D21" s="107"/>
      <c r="E21" s="107"/>
      <c r="F21" s="107"/>
      <c r="G21" s="107"/>
      <c r="H21" s="107"/>
      <c r="I21" s="108"/>
      <c r="P21" s="1" t="s">
        <v>94</v>
      </c>
    </row>
    <row r="22" spans="1:17" ht="19.5" hidden="1" thickBot="1" x14ac:dyDescent="0.45">
      <c r="A22" s="2">
        <f>IF((C5="1- Excellent"),C3*1.7,C3*2.55)</f>
        <v>61.199999999999996</v>
      </c>
      <c r="I22" s="2">
        <f>IF((J32=TRUE),J30,H7/10)</f>
        <v>81.400000000000006</v>
      </c>
      <c r="J22" s="40">
        <v>8</v>
      </c>
      <c r="M22" s="1" t="s">
        <v>92</v>
      </c>
      <c r="P22" s="1" t="s">
        <v>95</v>
      </c>
    </row>
    <row r="23" spans="1:17" ht="19.5" hidden="1" thickBot="1" x14ac:dyDescent="0.45">
      <c r="A23" s="2">
        <f>IF((C5="1- Excellent"),C3*M9,C3*2.5)</f>
        <v>60</v>
      </c>
      <c r="F23" s="2" t="str">
        <f>MID(C5,1,1)</f>
        <v>A</v>
      </c>
      <c r="H23" s="2">
        <v>77</v>
      </c>
      <c r="J23" s="1">
        <v>6</v>
      </c>
      <c r="L23" s="1">
        <v>6</v>
      </c>
      <c r="M23" s="1">
        <f>0.035*H7</f>
        <v>28.490000000000006</v>
      </c>
      <c r="N23" s="1">
        <f>IF(M23&gt;100,100,M23)</f>
        <v>28.490000000000006</v>
      </c>
      <c r="P23" s="43">
        <f>IF(D6="YES",1,0)</f>
        <v>0</v>
      </c>
      <c r="Q23" s="44" t="s">
        <v>96</v>
      </c>
    </row>
    <row r="24" spans="1:17" hidden="1" x14ac:dyDescent="0.4">
      <c r="B24" s="2" t="b">
        <f>IF((C5="2- Very Good"),J25,IF((C5="1- Excellent"),J22,IF((C5="3- Average"),J24,IF((C5="4- Below Average"),J23,IF((C5="5- Poorest"),J22)))))</f>
        <v>0</v>
      </c>
      <c r="J24" s="1">
        <v>4</v>
      </c>
      <c r="L24" s="1">
        <v>8</v>
      </c>
      <c r="M24" s="1">
        <f>0.025*H7</f>
        <v>20.350000000000005</v>
      </c>
      <c r="N24" s="1">
        <f>IF(M24&gt;100,100,M24)</f>
        <v>20.350000000000005</v>
      </c>
    </row>
    <row r="25" spans="1:17" hidden="1" x14ac:dyDescent="0.4">
      <c r="A25" s="2">
        <f>IF((E7&gt;1000),"max 100A",IF((E7*1.1/10)&lt;=100,(E7*1.1/10),100))</f>
        <v>0</v>
      </c>
      <c r="D25" s="2" t="s">
        <v>89</v>
      </c>
      <c r="H25" s="2" t="s">
        <v>37</v>
      </c>
      <c r="J25" s="1">
        <v>3</v>
      </c>
      <c r="L25" s="1">
        <v>8</v>
      </c>
      <c r="M25" s="1">
        <f>0.015*H7</f>
        <v>12.21</v>
      </c>
      <c r="N25" s="1">
        <f>IF(M25&gt;100,100,M25)</f>
        <v>12.21</v>
      </c>
    </row>
    <row r="26" spans="1:17" ht="19.5" hidden="1" thickBot="1" x14ac:dyDescent="0.45">
      <c r="A26" s="36" t="s">
        <v>80</v>
      </c>
      <c r="B26" s="38">
        <f>MAX(B9:B19)</f>
        <v>62.400000000000006</v>
      </c>
      <c r="D26" s="2" t="s">
        <v>90</v>
      </c>
      <c r="H26" s="2" t="s">
        <v>86</v>
      </c>
    </row>
    <row r="27" spans="1:17" ht="19.5" hidden="1" thickBot="1" x14ac:dyDescent="0.45">
      <c r="D27" s="2" t="s">
        <v>91</v>
      </c>
      <c r="H27" s="2" t="s">
        <v>88</v>
      </c>
      <c r="M27" s="1">
        <f>IF((J32=TRUE),J30,H7/10)</f>
        <v>81.400000000000006</v>
      </c>
      <c r="O27" s="45" t="s">
        <v>105</v>
      </c>
      <c r="P27" s="46">
        <f>N32/6</f>
        <v>123.33333333333333</v>
      </c>
    </row>
    <row r="28" spans="1:17" ht="19.5" hidden="1" thickBot="1" x14ac:dyDescent="0.45">
      <c r="B28" s="2" t="s">
        <v>78</v>
      </c>
      <c r="E28" s="29" t="s">
        <v>48</v>
      </c>
      <c r="F28" s="31" t="s">
        <v>49</v>
      </c>
      <c r="G28" s="39"/>
      <c r="H28" s="2" t="s">
        <v>87</v>
      </c>
    </row>
    <row r="29" spans="1:17" ht="19.5" hidden="1" thickBot="1" x14ac:dyDescent="0.45">
      <c r="A29" s="2">
        <f>IF(F5="93-M1001",1,0)</f>
        <v>0</v>
      </c>
      <c r="B29" s="2">
        <v>100</v>
      </c>
      <c r="C29" s="2" t="s">
        <v>42</v>
      </c>
      <c r="D29" s="2">
        <v>300</v>
      </c>
      <c r="E29" s="30" t="str">
        <f>MID(F5,8,1)</f>
        <v>7</v>
      </c>
      <c r="F29" s="30">
        <f>IF((F5="93-M1001"),300,IF((F5="93-M1005"),500,IF((F5="93-M1007"),1322,IF((F5="93-M1007-480"),1322,IF((F5="93-M1009"),3700)))))</f>
        <v>1322</v>
      </c>
      <c r="G29" s="39"/>
      <c r="H29" s="2" t="s">
        <v>41</v>
      </c>
      <c r="I29" s="31" t="s">
        <v>57</v>
      </c>
      <c r="J29" s="31" t="s">
        <v>58</v>
      </c>
      <c r="M29" s="1">
        <f>D3</f>
        <v>740</v>
      </c>
      <c r="N29" s="1">
        <f>M29</f>
        <v>740</v>
      </c>
    </row>
    <row r="30" spans="1:17" ht="19.5" hidden="1" thickBot="1" x14ac:dyDescent="0.45">
      <c r="A30" s="2">
        <f>IF(F5="93-M1005",1,0)</f>
        <v>0</v>
      </c>
      <c r="B30" s="2">
        <v>120</v>
      </c>
      <c r="C30" s="2" t="s">
        <v>44</v>
      </c>
      <c r="D30" s="2">
        <v>500</v>
      </c>
      <c r="I30" s="30">
        <f>H7/10</f>
        <v>81.400000000000006</v>
      </c>
      <c r="J30" s="30">
        <f>IF((F5="93-M1001"),30,IF((F5="93-M1005"),50,IF((F5="93-M1007"),100,IF((F5="93-M1007-480"),100,IF((F5="93-M1009"),300)))))</f>
        <v>100</v>
      </c>
      <c r="M30" s="1">
        <f>E3</f>
        <v>0</v>
      </c>
      <c r="N30" s="1">
        <f>M30*0.9</f>
        <v>0</v>
      </c>
    </row>
    <row r="31" spans="1:17" hidden="1" x14ac:dyDescent="0.4">
      <c r="A31" s="2">
        <f>IF(F5="93-M1007",1,0)</f>
        <v>1</v>
      </c>
      <c r="B31" s="2">
        <v>125</v>
      </c>
      <c r="C31" s="2" t="s">
        <v>43</v>
      </c>
      <c r="D31" s="2">
        <v>1000</v>
      </c>
      <c r="F31" s="31" t="s">
        <v>50</v>
      </c>
      <c r="G31" s="31"/>
      <c r="H31" s="31" t="s">
        <v>51</v>
      </c>
      <c r="J31" s="33" t="s">
        <v>59</v>
      </c>
      <c r="L31" s="1" t="s">
        <v>99</v>
      </c>
      <c r="M31" s="1">
        <f>F3</f>
        <v>0</v>
      </c>
      <c r="N31" s="1">
        <f>M31*0.8</f>
        <v>0</v>
      </c>
    </row>
    <row r="32" spans="1:17" ht="19.5" hidden="1" thickBot="1" x14ac:dyDescent="0.45">
      <c r="A32" s="2">
        <f>IF(F5="93-M1007-480",1,0)</f>
        <v>0</v>
      </c>
      <c r="B32" s="2">
        <v>125</v>
      </c>
      <c r="C32" s="2" t="s">
        <v>45</v>
      </c>
      <c r="D32" s="2">
        <v>1000</v>
      </c>
      <c r="F32" s="30">
        <f>H7</f>
        <v>814.00000000000011</v>
      </c>
      <c r="G32" s="30"/>
      <c r="H32" s="30">
        <f>IF((F29-F32&gt;0),0,1)</f>
        <v>0</v>
      </c>
      <c r="J32" s="34" t="b">
        <f>IF((J30-I30&lt;0),TRUE,FALSE)</f>
        <v>0</v>
      </c>
      <c r="N32" s="1">
        <f>SUM(N29:N31)</f>
        <v>740</v>
      </c>
    </row>
    <row r="33" spans="1:12" ht="19.5" hidden="1" thickBot="1" x14ac:dyDescent="0.45">
      <c r="A33" s="2">
        <f>IF(F5="93-M1009",1,0)</f>
        <v>0</v>
      </c>
      <c r="B33" s="2">
        <v>75</v>
      </c>
      <c r="C33" s="2" t="s">
        <v>46</v>
      </c>
      <c r="D33" s="2">
        <v>3000</v>
      </c>
      <c r="H33" s="31" t="s">
        <v>52</v>
      </c>
      <c r="I33" s="31" t="s">
        <v>53</v>
      </c>
      <c r="L33" s="1" t="s">
        <v>100</v>
      </c>
    </row>
    <row r="34" spans="1:12" ht="19.5" hidden="1" thickBot="1" x14ac:dyDescent="0.45">
      <c r="E34" s="31" t="s">
        <v>55</v>
      </c>
      <c r="H34" s="30">
        <f>IF((F32&gt;1000),1,0)</f>
        <v>0</v>
      </c>
      <c r="I34" s="30">
        <f>IF((H34=1),(F32/100),100%)</f>
        <v>1</v>
      </c>
      <c r="L34" s="1" t="s">
        <v>101</v>
      </c>
    </row>
    <row r="35" spans="1:12" ht="19.5" hidden="1" thickBot="1" x14ac:dyDescent="0.45">
      <c r="A35" s="36" t="s">
        <v>79</v>
      </c>
      <c r="C35" s="31" t="s">
        <v>56</v>
      </c>
      <c r="E35" s="30">
        <f>IF((E29&gt;6),1,0)</f>
        <v>1</v>
      </c>
      <c r="H35" s="31" t="s">
        <v>54</v>
      </c>
      <c r="L35" s="1" t="s">
        <v>102</v>
      </c>
    </row>
    <row r="36" spans="1:12" ht="19.5" hidden="1" thickBot="1" x14ac:dyDescent="0.45">
      <c r="A36" s="36">
        <f>(A29*B29)+(A30*B30)+(A31*B31)+(A32*B32)+(A33*B33)</f>
        <v>125</v>
      </c>
      <c r="C36" s="30" t="b">
        <f>IF((H32+E35&gt;1),TRUE,FALSE)</f>
        <v>0</v>
      </c>
      <c r="H36" s="32">
        <f>IF((H34=1),"10"%*I34,1)</f>
        <v>1</v>
      </c>
      <c r="I36" s="51" t="s">
        <v>106</v>
      </c>
      <c r="J36" s="1">
        <f>H36*10</f>
        <v>10</v>
      </c>
    </row>
    <row r="37" spans="1:12" hidden="1" x14ac:dyDescent="0.4">
      <c r="I37" s="51" t="s">
        <v>107</v>
      </c>
      <c r="J37" s="1">
        <v>6</v>
      </c>
      <c r="L37" s="1" t="s">
        <v>103</v>
      </c>
    </row>
    <row r="38" spans="1:12" hidden="1" x14ac:dyDescent="0.4">
      <c r="L38" s="1" t="s">
        <v>104</v>
      </c>
    </row>
    <row r="39" spans="1:12" hidden="1" x14ac:dyDescent="0.4">
      <c r="L39" s="1" t="s">
        <v>100</v>
      </c>
    </row>
    <row r="40" spans="1:12" hidden="1" x14ac:dyDescent="0.4"/>
    <row r="41" spans="1:12" hidden="1" x14ac:dyDescent="0.4"/>
    <row r="42" spans="1:12" hidden="1" x14ac:dyDescent="0.4"/>
    <row r="43" spans="1:12" hidden="1" x14ac:dyDescent="0.4"/>
  </sheetData>
  <sheetProtection password="CB07" sheet="1" selectLockedCells="1"/>
  <customSheetViews>
    <customSheetView guid="{A378B3FA-B861-407D-9937-928FA849863A}">
      <selection activeCell="A4" sqref="A4:H8"/>
      <pageMargins left="0.7" right="0.7" top="0.75" bottom="0.75" header="0.3" footer="0.3"/>
      <pageSetup paperSize="9" orientation="portrait" horizontalDpi="0" verticalDpi="0" r:id="rId1"/>
    </customSheetView>
  </customSheetViews>
  <mergeCells count="64">
    <mergeCell ref="A21:I21"/>
    <mergeCell ref="D19:E20"/>
    <mergeCell ref="I19:I20"/>
    <mergeCell ref="F11:F12"/>
    <mergeCell ref="G19:G20"/>
    <mergeCell ref="B19:C20"/>
    <mergeCell ref="F15:F16"/>
    <mergeCell ref="I11:I12"/>
    <mergeCell ref="A15:A16"/>
    <mergeCell ref="A2:B2"/>
    <mergeCell ref="A11:A12"/>
    <mergeCell ref="I15:I16"/>
    <mergeCell ref="I17:I18"/>
    <mergeCell ref="B15:C16"/>
    <mergeCell ref="B17:C18"/>
    <mergeCell ref="I9:I10"/>
    <mergeCell ref="H13:H14"/>
    <mergeCell ref="D17:E18"/>
    <mergeCell ref="H15:H16"/>
    <mergeCell ref="H19:H20"/>
    <mergeCell ref="H17:H18"/>
    <mergeCell ref="A17:A18"/>
    <mergeCell ref="C1:I1"/>
    <mergeCell ref="A1:B1"/>
    <mergeCell ref="H11:H12"/>
    <mergeCell ref="F17:F18"/>
    <mergeCell ref="F13:F14"/>
    <mergeCell ref="I13:I14"/>
    <mergeCell ref="A3:B3"/>
    <mergeCell ref="A19:A20"/>
    <mergeCell ref="F19:F20"/>
    <mergeCell ref="B13:C14"/>
    <mergeCell ref="A13:A14"/>
    <mergeCell ref="G17:G18"/>
    <mergeCell ref="D9:E10"/>
    <mergeCell ref="B11:C12"/>
    <mergeCell ref="D4:F4"/>
    <mergeCell ref="D11:E12"/>
    <mergeCell ref="A6:C6"/>
    <mergeCell ref="A9:A10"/>
    <mergeCell ref="H9:H10"/>
    <mergeCell ref="A5:B5"/>
    <mergeCell ref="D5:E5"/>
    <mergeCell ref="E6:I6"/>
    <mergeCell ref="A4:B4"/>
    <mergeCell ref="G15:G16"/>
    <mergeCell ref="B8:C8"/>
    <mergeCell ref="D8:E8"/>
    <mergeCell ref="G2:I5"/>
    <mergeCell ref="B7:G7"/>
    <mergeCell ref="G11:G12"/>
    <mergeCell ref="H7:I7"/>
    <mergeCell ref="G9:G10"/>
    <mergeCell ref="B9:C10"/>
    <mergeCell ref="U9:U10"/>
    <mergeCell ref="V9:V10"/>
    <mergeCell ref="D13:E14"/>
    <mergeCell ref="D15:E16"/>
    <mergeCell ref="Q9:Q10"/>
    <mergeCell ref="R9:R10"/>
    <mergeCell ref="S9:S10"/>
    <mergeCell ref="F9:F10"/>
    <mergeCell ref="T9:T10"/>
    <mergeCell ref="G13:G14"/>
  </mergeCells>
  <phoneticPr fontId="3" type="noConversion"/>
  <dataValidations count="4">
    <dataValidation type="list" allowBlank="1" showInputMessage="1" showErrorMessage="1" sqref="C5">
      <formula1>$D$25:$D$27</formula1>
    </dataValidation>
    <dataValidation type="list" allowBlank="1" showInputMessage="1" showErrorMessage="1" sqref="F5">
      <formula1>$C$29:$C$33</formula1>
    </dataValidation>
    <dataValidation type="list" allowBlank="1" showInputMessage="1" showErrorMessage="1" sqref="C4">
      <formula1>$M$3:$M$6</formula1>
    </dataValidation>
    <dataValidation type="list" allowBlank="1" showInputMessage="1" showErrorMessage="1" sqref="D6">
      <formula1>$P$21:$P$22</formula1>
    </dataValidation>
  </dataValidations>
  <pageMargins left="0.7" right="0.7" top="0.75" bottom="0.75" header="0.3" footer="0.3"/>
  <pageSetup paperSize="9" scale="77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10" workbookViewId="0">
      <selection activeCell="K20" sqref="K20"/>
    </sheetView>
  </sheetViews>
  <sheetFormatPr defaultRowHeight="15" x14ac:dyDescent="0.25"/>
  <cols>
    <col min="2" max="2" width="8.5703125" bestFit="1" customWidth="1"/>
    <col min="3" max="3" width="39" bestFit="1" customWidth="1"/>
    <col min="4" max="4" width="15.5703125" style="4" bestFit="1" customWidth="1"/>
    <col min="5" max="5" width="11" customWidth="1"/>
    <col min="6" max="7" width="14.7109375" style="4" bestFit="1" customWidth="1"/>
  </cols>
  <sheetData>
    <row r="1" spans="2:7" ht="15.75" thickBot="1" x14ac:dyDescent="0.3"/>
    <row r="2" spans="2:7" s="7" customFormat="1" ht="18.75" x14ac:dyDescent="0.3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14</v>
      </c>
    </row>
    <row r="3" spans="2:7" x14ac:dyDescent="0.25">
      <c r="B3" s="11" t="s">
        <v>5</v>
      </c>
      <c r="C3" s="6" t="s">
        <v>19</v>
      </c>
      <c r="D3" s="6" t="s">
        <v>16</v>
      </c>
      <c r="E3" s="5">
        <v>0.41666666666666669</v>
      </c>
      <c r="F3" s="6" t="s">
        <v>7</v>
      </c>
      <c r="G3" s="12">
        <v>1</v>
      </c>
    </row>
    <row r="4" spans="2:7" x14ac:dyDescent="0.25">
      <c r="B4" s="11" t="s">
        <v>6</v>
      </c>
      <c r="C4" s="6" t="s">
        <v>20</v>
      </c>
      <c r="D4" s="6" t="s">
        <v>16</v>
      </c>
      <c r="E4" s="5">
        <v>0.33333333333333331</v>
      </c>
      <c r="F4" s="6" t="s">
        <v>18</v>
      </c>
      <c r="G4" s="12">
        <v>1</v>
      </c>
    </row>
    <row r="5" spans="2:7" x14ac:dyDescent="0.25">
      <c r="B5" s="11" t="s">
        <v>8</v>
      </c>
      <c r="C5" s="6" t="s">
        <v>20</v>
      </c>
      <c r="D5" s="6" t="s">
        <v>17</v>
      </c>
      <c r="E5" s="5">
        <v>0.33333333333333331</v>
      </c>
      <c r="F5" s="6" t="s">
        <v>18</v>
      </c>
      <c r="G5" s="12">
        <v>2</v>
      </c>
    </row>
    <row r="6" spans="2:7" x14ac:dyDescent="0.25">
      <c r="B6" s="11" t="s">
        <v>9</v>
      </c>
      <c r="C6" s="6" t="s">
        <v>19</v>
      </c>
      <c r="D6" s="6" t="s">
        <v>16</v>
      </c>
      <c r="E6" s="5">
        <v>0.41666666666666669</v>
      </c>
      <c r="F6" s="6" t="s">
        <v>7</v>
      </c>
      <c r="G6" s="12">
        <v>1</v>
      </c>
    </row>
    <row r="7" spans="2:7" x14ac:dyDescent="0.25">
      <c r="B7" s="11" t="s">
        <v>10</v>
      </c>
      <c r="C7" s="6" t="s">
        <v>20</v>
      </c>
      <c r="D7" s="6" t="s">
        <v>16</v>
      </c>
      <c r="E7" s="5">
        <v>0.33333333333333331</v>
      </c>
      <c r="F7" s="6" t="s">
        <v>18</v>
      </c>
      <c r="G7" s="12">
        <v>1</v>
      </c>
    </row>
    <row r="8" spans="2:7" ht="15.75" thickBot="1" x14ac:dyDescent="0.3">
      <c r="B8" s="13" t="s">
        <v>13</v>
      </c>
      <c r="C8" s="14" t="s">
        <v>20</v>
      </c>
      <c r="D8" s="14" t="s">
        <v>17</v>
      </c>
      <c r="E8" s="15">
        <v>0.33333333333333331</v>
      </c>
      <c r="F8" s="14" t="s">
        <v>18</v>
      </c>
      <c r="G8" s="16">
        <v>2</v>
      </c>
    </row>
    <row r="12" spans="2:7" ht="15.75" thickBot="1" x14ac:dyDescent="0.3"/>
    <row r="13" spans="2:7" ht="18.75" x14ac:dyDescent="0.3">
      <c r="B13" s="8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10" t="s">
        <v>14</v>
      </c>
    </row>
    <row r="14" spans="2:7" x14ac:dyDescent="0.25">
      <c r="B14" s="11" t="s">
        <v>5</v>
      </c>
      <c r="C14" s="6" t="s">
        <v>23</v>
      </c>
      <c r="D14" s="6" t="s">
        <v>21</v>
      </c>
      <c r="E14" s="5">
        <v>0.41666666666666669</v>
      </c>
      <c r="F14" s="6" t="s">
        <v>7</v>
      </c>
      <c r="G14" s="12">
        <v>1</v>
      </c>
    </row>
    <row r="15" spans="2:7" x14ac:dyDescent="0.25">
      <c r="B15" s="11" t="s">
        <v>6</v>
      </c>
      <c r="C15" s="6" t="s">
        <v>24</v>
      </c>
      <c r="D15" s="6" t="s">
        <v>21</v>
      </c>
      <c r="E15" s="5">
        <v>0.33333333333333331</v>
      </c>
      <c r="F15" s="6" t="s">
        <v>18</v>
      </c>
      <c r="G15" s="12">
        <v>1</v>
      </c>
    </row>
    <row r="16" spans="2:7" x14ac:dyDescent="0.25">
      <c r="B16" s="11" t="s">
        <v>8</v>
      </c>
      <c r="C16" s="6" t="s">
        <v>24</v>
      </c>
      <c r="D16" s="6" t="s">
        <v>22</v>
      </c>
      <c r="E16" s="5">
        <v>0.33333333333333331</v>
      </c>
      <c r="F16" s="6" t="s">
        <v>18</v>
      </c>
      <c r="G16" s="12">
        <v>2</v>
      </c>
    </row>
    <row r="17" spans="2:7" x14ac:dyDescent="0.25">
      <c r="B17" s="11" t="s">
        <v>9</v>
      </c>
      <c r="C17" s="6" t="s">
        <v>23</v>
      </c>
      <c r="D17" s="6" t="s">
        <v>21</v>
      </c>
      <c r="E17" s="5">
        <v>0.41666666666666669</v>
      </c>
      <c r="F17" s="6" t="s">
        <v>7</v>
      </c>
      <c r="G17" s="12">
        <v>1</v>
      </c>
    </row>
    <row r="18" spans="2:7" x14ac:dyDescent="0.25">
      <c r="B18" s="11" t="s">
        <v>10</v>
      </c>
      <c r="C18" s="6" t="s">
        <v>24</v>
      </c>
      <c r="D18" s="6" t="s">
        <v>21</v>
      </c>
      <c r="E18" s="5">
        <v>0.33333333333333331</v>
      </c>
      <c r="F18" s="6" t="s">
        <v>18</v>
      </c>
      <c r="G18" s="12">
        <v>1</v>
      </c>
    </row>
    <row r="19" spans="2:7" ht="15.75" thickBot="1" x14ac:dyDescent="0.3">
      <c r="B19" s="13" t="s">
        <v>13</v>
      </c>
      <c r="C19" s="14" t="s">
        <v>24</v>
      </c>
      <c r="D19" s="14" t="s">
        <v>22</v>
      </c>
      <c r="E19" s="15">
        <v>0.33333333333333331</v>
      </c>
      <c r="F19" s="14" t="s">
        <v>18</v>
      </c>
      <c r="G19" s="16">
        <v>2</v>
      </c>
    </row>
    <row r="20" spans="2:7" ht="15.75" thickBot="1" x14ac:dyDescent="0.3"/>
    <row r="21" spans="2:7" ht="18.75" x14ac:dyDescent="0.3">
      <c r="B21" s="8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10" t="s">
        <v>14</v>
      </c>
    </row>
    <row r="22" spans="2:7" x14ac:dyDescent="0.25">
      <c r="B22" s="11" t="s">
        <v>5</v>
      </c>
      <c r="C22" s="6" t="s">
        <v>19</v>
      </c>
      <c r="D22" s="6" t="s">
        <v>16</v>
      </c>
      <c r="E22" s="5">
        <v>0.41666666666666669</v>
      </c>
      <c r="F22" s="6" t="s">
        <v>7</v>
      </c>
      <c r="G22" s="12">
        <v>1</v>
      </c>
    </row>
    <row r="23" spans="2:7" x14ac:dyDescent="0.25">
      <c r="B23" s="11" t="s">
        <v>6</v>
      </c>
      <c r="C23" s="6" t="s">
        <v>25</v>
      </c>
      <c r="D23" s="6" t="s">
        <v>16</v>
      </c>
      <c r="E23" s="5">
        <v>0.33333333333333331</v>
      </c>
      <c r="F23" s="6" t="s">
        <v>18</v>
      </c>
      <c r="G23" s="12">
        <v>1</v>
      </c>
    </row>
    <row r="24" spans="2:7" x14ac:dyDescent="0.25">
      <c r="B24" s="11" t="s">
        <v>8</v>
      </c>
      <c r="C24" s="6" t="s">
        <v>26</v>
      </c>
      <c r="D24" s="6" t="s">
        <v>17</v>
      </c>
      <c r="E24" s="5">
        <v>0.33333333333333331</v>
      </c>
      <c r="F24" s="6" t="s">
        <v>18</v>
      </c>
      <c r="G24" s="12">
        <v>2</v>
      </c>
    </row>
    <row r="25" spans="2:7" x14ac:dyDescent="0.25">
      <c r="B25" s="11" t="s">
        <v>9</v>
      </c>
      <c r="C25" s="6" t="s">
        <v>19</v>
      </c>
      <c r="D25" s="6" t="s">
        <v>16</v>
      </c>
      <c r="E25" s="5">
        <v>0.41666666666666669</v>
      </c>
      <c r="F25" s="6" t="s">
        <v>7</v>
      </c>
      <c r="G25" s="12">
        <v>1</v>
      </c>
    </row>
    <row r="26" spans="2:7" x14ac:dyDescent="0.25">
      <c r="B26" s="11" t="s">
        <v>10</v>
      </c>
      <c r="C26" s="6" t="s">
        <v>25</v>
      </c>
      <c r="D26" s="6" t="s">
        <v>16</v>
      </c>
      <c r="E26" s="5">
        <v>0.33333333333333331</v>
      </c>
      <c r="F26" s="6" t="s">
        <v>18</v>
      </c>
      <c r="G26" s="12">
        <v>1</v>
      </c>
    </row>
    <row r="27" spans="2:7" ht="15.75" thickBot="1" x14ac:dyDescent="0.3">
      <c r="B27" s="13" t="s">
        <v>13</v>
      </c>
      <c r="C27" s="6" t="s">
        <v>26</v>
      </c>
      <c r="D27" s="14" t="s">
        <v>17</v>
      </c>
      <c r="E27" s="15">
        <v>0.33333333333333331</v>
      </c>
      <c r="F27" s="14" t="s">
        <v>18</v>
      </c>
      <c r="G27" s="16">
        <v>2</v>
      </c>
    </row>
    <row r="28" spans="2:7" x14ac:dyDescent="0.25">
      <c r="C28" s="17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Automated</vt:lpstr>
      <vt:lpstr>Sheet1</vt:lpstr>
      <vt:lpstr>Automated!Print_Area</vt:lpstr>
    </vt:vector>
  </TitlesOfParts>
  <Company>Belgian Post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urbaind</dc:creator>
  <cp:lastModifiedBy>Samantha Melhorn</cp:lastModifiedBy>
  <cp:lastPrinted>2016-10-25T18:58:50Z</cp:lastPrinted>
  <dcterms:created xsi:type="dcterms:W3CDTF">2012-08-13T06:08:33Z</dcterms:created>
  <dcterms:modified xsi:type="dcterms:W3CDTF">2021-05-26T15:21:26Z</dcterms:modified>
</cp:coreProperties>
</file>